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S:\Civic Initiatives\Open Projects\4488 47212 - DHS Legacy System Replacement\RFP - WIP\"/>
    </mc:Choice>
  </mc:AlternateContent>
  <xr:revisionPtr revIDLastSave="0" documentId="13_ncr:1_{27E4E525-6D14-4F1E-A88A-5839123465C9}" xr6:coauthVersionLast="47" xr6:coauthVersionMax="47" xr10:uidLastSave="{00000000-0000-0000-0000-000000000000}"/>
  <bookViews>
    <workbookView xWindow="-120" yWindow="-120" windowWidth="29040" windowHeight="15840" activeTab="3" xr2:uid="{00000000-000D-0000-FFFF-FFFF00000000}"/>
  </bookViews>
  <sheets>
    <sheet name="1. Instructions" sheetId="2" r:id="rId1"/>
    <sheet name="2. Business Areas" sheetId="3" r:id="rId2"/>
    <sheet name="3. Glossary" sheetId="5" r:id="rId3"/>
    <sheet name="4. Requirements" sheetId="1" r:id="rId4"/>
    <sheet name="ValidationData" sheetId="4" state="hidden" r:id="rId5"/>
  </sheets>
  <definedNames>
    <definedName name="BooleanRange">ValidationData!$A$1:$A$2</definedName>
    <definedName name="LookupTypeRange225">ValidationData!$G$1:$G$2</definedName>
    <definedName name="LookupTypeRange240">ValidationData!$D$1:$D$2</definedName>
    <definedName name="LookupTypeRange263">ValidationData!$E$1:$E$27</definedName>
    <definedName name="LookupTypeRange264">ValidationData!$F$1:$F$2</definedName>
    <definedName name="LookupTypeRange62">ValidationData!$H$1:$H$3</definedName>
    <definedName name="LookupTypeRange63">ValidationData!$I$1:$I$7</definedName>
    <definedName name="testCaseStatus">ValidationData!$B$1:$B$5</definedName>
    <definedName name="testRunStatus">ValidationData!$C$1:$C$5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891" i="1"/>
  <c r="A792" i="1"/>
  <c r="A892" i="1"/>
  <c r="A208" i="1"/>
  <c r="A209" i="1"/>
  <c r="A685" i="1"/>
  <c r="A1696" i="1"/>
  <c r="A1697" i="1"/>
  <c r="A1698" i="1"/>
  <c r="A1699" i="1"/>
  <c r="A1700" i="1"/>
  <c r="A1701" i="1"/>
  <c r="A1702" i="1"/>
  <c r="A1703" i="1"/>
  <c r="A1704" i="1"/>
  <c r="A1705" i="1"/>
  <c r="A1706" i="1"/>
  <c r="A327" i="1"/>
  <c r="A328" i="1"/>
  <c r="A551" i="1"/>
</calcChain>
</file>

<file path=xl/sharedStrings.xml><?xml version="1.0" encoding="utf-8"?>
<sst xmlns="http://schemas.openxmlformats.org/spreadsheetml/2006/main" count="9402" uniqueCount="2191">
  <si>
    <t>MDHS SUCCESS Project</t>
  </si>
  <si>
    <t>Appendix B - MDHS System Requirements Traceability Matrix (RTM)</t>
  </si>
  <si>
    <t>Vendor Instructions</t>
  </si>
  <si>
    <t>Column</t>
  </si>
  <si>
    <t>Definition/Instructions</t>
  </si>
  <si>
    <t>A. ID</t>
  </si>
  <si>
    <r>
      <t xml:space="preserve">The unique alphanumeric ID for each requirement.
</t>
    </r>
    <r>
      <rPr>
        <sz val="10"/>
        <rFont val="Arial"/>
        <family val="2"/>
      </rPr>
      <t>DO NOT EDIT THIS FIELD.</t>
    </r>
  </si>
  <si>
    <t>B. Description</t>
  </si>
  <si>
    <t>The detailed description of the requirement.</t>
  </si>
  <si>
    <t>DO NOT EDIT THIS FIELD.</t>
  </si>
  <si>
    <t>C. Type</t>
  </si>
  <si>
    <t>The type (i.e., functional, technical, etc.) of requirement</t>
  </si>
  <si>
    <t>D. Business Area/Category</t>
  </si>
  <si>
    <t xml:space="preserve">The business area or category that the requirements falls into. </t>
  </si>
  <si>
    <t>E. Mandatory?</t>
  </si>
  <si>
    <t>The identification of whether the requirement is mandatory (Y) or optional (N).</t>
  </si>
  <si>
    <t>F. Benefitting Program</t>
  </si>
  <si>
    <t>The identification of the applicable program for the requirements.</t>
  </si>
  <si>
    <t>G. Requirement Will be Met?</t>
  </si>
  <si>
    <t>The identification of whether the solution will or will not meet the requirement.</t>
  </si>
  <si>
    <t>VENDORS MUST COMPLETE THIS FIELD.</t>
  </si>
  <si>
    <t>H. Native/Config/Coding</t>
  </si>
  <si>
    <t>The identification of how the requirement will be met. Values include:</t>
  </si>
  <si>
    <t>Native - The solution does not require configuration or customization</t>
  </si>
  <si>
    <t>Config - The solution will require configuration</t>
  </si>
  <si>
    <t>Coding - The solution will require custom coding</t>
  </si>
  <si>
    <t xml:space="preserve">I. Vendor Comments (Optional) </t>
  </si>
  <si>
    <t>Additional information that clarifies the response provided in G and/or H.</t>
  </si>
  <si>
    <t>VENDORS ARE NOT REQUIRED TO COMPLETE THIS FIELD.</t>
  </si>
  <si>
    <t>Business Area</t>
  </si>
  <si>
    <t>Description</t>
  </si>
  <si>
    <t>General</t>
  </si>
  <si>
    <t>This business area addresses general capabilities needed across human services programs (e.g., alerts, store and retrieve documents, etc.)</t>
  </si>
  <si>
    <t>Client Management</t>
  </si>
  <si>
    <t>This business area addresses managing client information and managing communications and outreach with clients.</t>
  </si>
  <si>
    <t>Eligibility and Enrollment (Client)</t>
  </si>
  <si>
    <t>This business area addresses determining client eligibility and enrolling and disenrolling clients in programs and services.</t>
  </si>
  <si>
    <t>Service Management</t>
  </si>
  <si>
    <t>This business area addresses identifying client needs, providing appropriate services, and monitoring and managing client status/outcomes.</t>
  </si>
  <si>
    <t>Eligibility and Enrollment (Provider)</t>
  </si>
  <si>
    <t>This business area addresses eligibility determination and enrollment for human services providers (e.g., Child Care).</t>
  </si>
  <si>
    <t>Provider Management</t>
  </si>
  <si>
    <t>This business area addresses maintaining information on providers, (especially their performance and certification), and communicating with the provider community.</t>
  </si>
  <si>
    <t>Financial Management</t>
  </si>
  <si>
    <t>This business area addresses payments and receivables and “owns” all information associated with service payment and receivables.</t>
  </si>
  <si>
    <t>Performance Management</t>
  </si>
  <si>
    <t>This business area addresses compliance management, performance evaluation, reporting.</t>
  </si>
  <si>
    <t>Business Relationship Management</t>
  </si>
  <si>
    <t xml:space="preserve">This business area addresses the standards for interoperability between agencies and partners. </t>
  </si>
  <si>
    <t>Operations Management</t>
  </si>
  <si>
    <t>This business area addresses managing case workloads and related support.</t>
  </si>
  <si>
    <t>Legal Management</t>
  </si>
  <si>
    <t>This business area addresses legal processes related to establishment, modification, and removal of court orders, including generation of legal documents. It also contains other supporting legal processes that address program-related requirements, such as paternity establishment and acknowledgment.</t>
  </si>
  <si>
    <t>Enforcement Management</t>
  </si>
  <si>
    <t>This business area addresses processes related to enforce payment of child support obligations, including income withholding, unemployment compensation, financial asset seizure, and license suspension. It also contains processes to enforce health insurance coverage for children.</t>
  </si>
  <si>
    <t xml:space="preserve">Technical </t>
  </si>
  <si>
    <t>This business area addresses technical requirements in categories such as security, architecture, performance, etc.</t>
  </si>
  <si>
    <t>Acronym</t>
  </si>
  <si>
    <t>Definition</t>
  </si>
  <si>
    <t>A2A</t>
  </si>
  <si>
    <t>Application to Application</t>
  </si>
  <si>
    <t>ABAWDS</t>
  </si>
  <si>
    <t>Able Bodied Adult Without Dependents</t>
  </si>
  <si>
    <t>ACF</t>
  </si>
  <si>
    <t>Administration for Children and Families</t>
  </si>
  <si>
    <t>ADA</t>
  </si>
  <si>
    <t>Americans with Disability Act of 1990</t>
  </si>
  <si>
    <t>AES</t>
  </si>
  <si>
    <t>Advanced Encryption Standard</t>
  </si>
  <si>
    <t>AEI</t>
  </si>
  <si>
    <t>Administrative Enforcement for Interstate</t>
  </si>
  <si>
    <t>AI</t>
  </si>
  <si>
    <t>Artificial Intelligence</t>
  </si>
  <si>
    <t>API</t>
  </si>
  <si>
    <t>Application Programming Interface</t>
  </si>
  <si>
    <t>ASC</t>
  </si>
  <si>
    <t>Accredited Standards Committee</t>
  </si>
  <si>
    <t>AWS</t>
  </si>
  <si>
    <t>Amazon Web Services</t>
  </si>
  <si>
    <t>BBCE</t>
  </si>
  <si>
    <t>Broad-Based Categorical Eligibility</t>
  </si>
  <si>
    <t>BENDEX</t>
  </si>
  <si>
    <t>Beneficiary Earnings and Data Exchange</t>
  </si>
  <si>
    <t>CCD</t>
  </si>
  <si>
    <t>Continuity of Care Document</t>
  </si>
  <si>
    <t>CCD+</t>
  </si>
  <si>
    <t>Cash Concentration and Disbursement Plus</t>
  </si>
  <si>
    <t>CCDA</t>
  </si>
  <si>
    <t>Consolidated Clinical Document Architecture</t>
  </si>
  <si>
    <t>CFR</t>
  </si>
  <si>
    <t>Code of Federal Regulations</t>
  </si>
  <si>
    <t>CHIP</t>
  </si>
  <si>
    <t>Children's Health Insurance Program</t>
  </si>
  <si>
    <t>COLA</t>
  </si>
  <si>
    <t>Cost of Living Adjustment</t>
  </si>
  <si>
    <t>COTS</t>
  </si>
  <si>
    <t>Commercial off-the-shelf</t>
  </si>
  <si>
    <t>CP</t>
  </si>
  <si>
    <t>Custodial Parent</t>
  </si>
  <si>
    <t>CSENet</t>
  </si>
  <si>
    <t>Child Support Enforcement Network</t>
  </si>
  <si>
    <t>CTX</t>
  </si>
  <si>
    <t>Corporate Trade Exchange</t>
  </si>
  <si>
    <t>CVSS</t>
  </si>
  <si>
    <t>Common Vulnerability Scoring System</t>
  </si>
  <si>
    <t>DSNAP</t>
  </si>
  <si>
    <t>Disaster Supplemental Nutrition Assistance Program</t>
  </si>
  <si>
    <t>DSH</t>
  </si>
  <si>
    <t>Data Services Hub</t>
  </si>
  <si>
    <t>DICOM</t>
  </si>
  <si>
    <t>Digital Imaging and Communication</t>
  </si>
  <si>
    <t>DNB</t>
  </si>
  <si>
    <t>Deemed Newborn</t>
  </si>
  <si>
    <t>DOB</t>
  </si>
  <si>
    <t>Date of Birth</t>
  </si>
  <si>
    <t>DOC, DOCX</t>
  </si>
  <si>
    <t>Microsoft Word Document file format</t>
  </si>
  <si>
    <t>DMZ</t>
  </si>
  <si>
    <t>Demilitarized Zone</t>
  </si>
  <si>
    <t>e-IWO</t>
  </si>
  <si>
    <t>Income Withholding Order</t>
  </si>
  <si>
    <t>E&amp;T</t>
  </si>
  <si>
    <t>Employment and Training</t>
  </si>
  <si>
    <t>EBT</t>
  </si>
  <si>
    <t>Electronic Benefits Transfer</t>
  </si>
  <si>
    <t>EDI</t>
  </si>
  <si>
    <t>Electronic Data Interchange</t>
  </si>
  <si>
    <t>EEI</t>
  </si>
  <si>
    <t>Early Employment Initiative</t>
  </si>
  <si>
    <t>EFT</t>
  </si>
  <si>
    <t>Electronic Funds Transfer</t>
  </si>
  <si>
    <t>ESB</t>
  </si>
  <si>
    <t>Enterprise Service Bus</t>
  </si>
  <si>
    <t>ETL</t>
  </si>
  <si>
    <t>Extract, Transfer, Load</t>
  </si>
  <si>
    <t>FCR</t>
  </si>
  <si>
    <t>Federal Case Registry</t>
  </si>
  <si>
    <t>FEDRAMP</t>
  </si>
  <si>
    <t>Federal Risk and Authorization Management Program</t>
  </si>
  <si>
    <t>FEIN</t>
  </si>
  <si>
    <t>Federal Employee Identification Number</t>
  </si>
  <si>
    <t>RFI</t>
  </si>
  <si>
    <t>Request for Information</t>
  </si>
  <si>
    <t>RFP</t>
  </si>
  <si>
    <t>Request for Proposal</t>
  </si>
  <si>
    <t>FHIR</t>
  </si>
  <si>
    <t>Fast Healthcare Interoperability Resources</t>
  </si>
  <si>
    <t>FIDM</t>
  </si>
  <si>
    <t>Financial Institution Data Match</t>
  </si>
  <si>
    <t>FIPS</t>
  </si>
  <si>
    <t>Federal Information Processing Standard</t>
  </si>
  <si>
    <t>FISMA</t>
  </si>
  <si>
    <t>Federal Information Security Management Act</t>
  </si>
  <si>
    <t>FNS</t>
  </si>
  <si>
    <t>Food and Nutrition Services</t>
  </si>
  <si>
    <t>FPLS</t>
  </si>
  <si>
    <t>Federal Parent Locator System</t>
  </si>
  <si>
    <t>FTI</t>
  </si>
  <si>
    <t>Federal Taxpayer Information</t>
  </si>
  <si>
    <t>HIPAA</t>
  </si>
  <si>
    <t>Health Insurance Portability and Accountability Act</t>
  </si>
  <si>
    <t>HITECH</t>
  </si>
  <si>
    <t>Health Information Technology for Economic and Clinical Health</t>
  </si>
  <si>
    <t>HL7</t>
  </si>
  <si>
    <t>Health Level 7</t>
  </si>
  <si>
    <t>HTTP, HTTP/S</t>
  </si>
  <si>
    <t>Hypertext Transfer Protocol, Hypertext Transfer Protocol Secure</t>
  </si>
  <si>
    <t>IaaS</t>
  </si>
  <si>
    <t>Infrastructure as-a-Service</t>
  </si>
  <si>
    <t>ID</t>
  </si>
  <si>
    <t>Identifier</t>
  </si>
  <si>
    <t>IIOP</t>
  </si>
  <si>
    <t>Internet Inter-ORB Protocol</t>
  </si>
  <si>
    <t>IPsec</t>
  </si>
  <si>
    <t>Internet Protocol Security</t>
  </si>
  <si>
    <t>IPV</t>
  </si>
  <si>
    <t>Intentional Program Violation</t>
  </si>
  <si>
    <t>IRS</t>
  </si>
  <si>
    <t>Internal Revenue Service</t>
  </si>
  <si>
    <t>IVR</t>
  </si>
  <si>
    <t>Interactive Voice Response</t>
  </si>
  <si>
    <t>JAD</t>
  </si>
  <si>
    <t>Joint Application Design</t>
  </si>
  <si>
    <t>JPG</t>
  </si>
  <si>
    <t>Joint Photographic Experts Group (image file format)</t>
  </si>
  <si>
    <t>JSON</t>
  </si>
  <si>
    <t>JavaScript Object Notation</t>
  </si>
  <si>
    <t>LIHEAP</t>
  </si>
  <si>
    <t>Low Income Home Energy Assistance Program</t>
  </si>
  <si>
    <t>MARS-E</t>
  </si>
  <si>
    <t>Minimum Acceptable Risk Standards for Exchanges</t>
  </si>
  <si>
    <t>MDES</t>
  </si>
  <si>
    <t>Mississippi Department of Employment Security</t>
  </si>
  <si>
    <t>MDHS</t>
  </si>
  <si>
    <t>Mississippi Department of Human Services</t>
  </si>
  <si>
    <t>MDM</t>
  </si>
  <si>
    <t>Master Data Management</t>
  </si>
  <si>
    <t>MITA</t>
  </si>
  <si>
    <t>Medicaid Information Technology Architecture</t>
  </si>
  <si>
    <t>MPI</t>
  </si>
  <si>
    <t>Master Person Index</t>
  </si>
  <si>
    <t>NACHA</t>
  </si>
  <si>
    <t>National Automated Clearinghouse Association</t>
  </si>
  <si>
    <t>NCP</t>
  </si>
  <si>
    <t>Non-Custodial Parent</t>
  </si>
  <si>
    <t>NDNH</t>
  </si>
  <si>
    <t>National Directory of New Hires</t>
  </si>
  <si>
    <t>NIST</t>
  </si>
  <si>
    <t>National Institute of Standards and Technology</t>
  </si>
  <si>
    <t>NOAA</t>
  </si>
  <si>
    <t>Notice of Adverse Action</t>
  </si>
  <si>
    <t>NPA</t>
  </si>
  <si>
    <t>Non-Public Assistance</t>
  </si>
  <si>
    <t>NSA</t>
  </si>
  <si>
    <t>National Security Agency</t>
  </si>
  <si>
    <t>NSF</t>
  </si>
  <si>
    <t>Non-Sufficient Funds</t>
  </si>
  <si>
    <t>NVD</t>
  </si>
  <si>
    <t>National Vulnerability Database</t>
  </si>
  <si>
    <t>OCSE</t>
  </si>
  <si>
    <t>Office of Child Support Enforcement</t>
  </si>
  <si>
    <t>OLAP</t>
  </si>
  <si>
    <t>Online Analytical Processing</t>
  </si>
  <si>
    <t>OSI</t>
  </si>
  <si>
    <t>Office of Special Investigations</t>
  </si>
  <si>
    <t>OWASP</t>
  </si>
  <si>
    <t>Open Web Application Security Project</t>
  </si>
  <si>
    <t>PDF</t>
  </si>
  <si>
    <t>Portable Document Format</t>
  </si>
  <si>
    <t>PHI</t>
  </si>
  <si>
    <t>Protected Health Information</t>
  </si>
  <si>
    <t>PII</t>
  </si>
  <si>
    <t>Personally Identifiable Information</t>
  </si>
  <si>
    <t>PNG</t>
  </si>
  <si>
    <t>Portable Network Graphics</t>
  </si>
  <si>
    <t>POSO</t>
  </si>
  <si>
    <t>Purchase of Service Order</t>
  </si>
  <si>
    <t>PPACA</t>
  </si>
  <si>
    <t>Patient Protection and Affordable Care Act</t>
  </si>
  <si>
    <t>QA</t>
  </si>
  <si>
    <t>Quality Assurance</t>
  </si>
  <si>
    <t>QC</t>
  </si>
  <si>
    <t>Quality Control</t>
  </si>
  <si>
    <t>QRIS</t>
  </si>
  <si>
    <t>Quality Rating and Improvement System</t>
  </si>
  <si>
    <t xml:space="preserve">RBA </t>
  </si>
  <si>
    <t xml:space="preserve">Role-Based Access  </t>
  </si>
  <si>
    <t>RBAC</t>
  </si>
  <si>
    <t>Role-Based Access Control</t>
  </si>
  <si>
    <t>RLS</t>
  </si>
  <si>
    <t>Record Level Sharing</t>
  </si>
  <si>
    <t>RMI</t>
  </si>
  <si>
    <t>Remote Method Invocation</t>
  </si>
  <si>
    <t>RTF</t>
  </si>
  <si>
    <t>Rich Text Format</t>
  </si>
  <si>
    <t>RSDI</t>
  </si>
  <si>
    <t>Retirement, Survivors, and Disability Insurance</t>
  </si>
  <si>
    <t>SaaS</t>
  </si>
  <si>
    <t>Software as-a-Service</t>
  </si>
  <si>
    <t>SDNH</t>
  </si>
  <si>
    <t>State Directory of New Hires</t>
  </si>
  <si>
    <t>SDU</t>
  </si>
  <si>
    <t>State Disbursement Unit</t>
  </si>
  <si>
    <t>SIRT</t>
  </si>
  <si>
    <t>System Integrity Review Tool</t>
  </si>
  <si>
    <t>SMS</t>
  </si>
  <si>
    <t>Short Message Service</t>
  </si>
  <si>
    <t>SMTP</t>
  </si>
  <si>
    <t>Simple Mail Transfer Protocol</t>
  </si>
  <si>
    <t>SNAP</t>
  </si>
  <si>
    <t>Supplemental Nutrition Assistance Program</t>
  </si>
  <si>
    <t>SOC</t>
  </si>
  <si>
    <t>Security Operations Center</t>
  </si>
  <si>
    <t>SPLS</t>
  </si>
  <si>
    <t>State Parent Locator System</t>
  </si>
  <si>
    <t>SSA</t>
  </si>
  <si>
    <t>Social Security Administration</t>
  </si>
  <si>
    <t>SSI</t>
  </si>
  <si>
    <t>Supplemental Security Income</t>
  </si>
  <si>
    <t>SSL</t>
  </si>
  <si>
    <t>Secure Sockets Layer</t>
  </si>
  <si>
    <t>SSN</t>
  </si>
  <si>
    <t>Social Security Number</t>
  </si>
  <si>
    <t>SSO</t>
  </si>
  <si>
    <t>Single Sign-On</t>
  </si>
  <si>
    <t>SVES</t>
  </si>
  <si>
    <t>State Verification and Exchange System</t>
  </si>
  <si>
    <t>S/MIME</t>
  </si>
  <si>
    <t>Secure/Multipurpose Internet Mail Extensions</t>
  </si>
  <si>
    <t>TANF</t>
  </si>
  <si>
    <t>Temporary Assistance for Needy Families</t>
  </si>
  <si>
    <t>TCP/IP</t>
  </si>
  <si>
    <t>Transmission Control Protocol/Internet Protocol</t>
  </si>
  <si>
    <t>TLS</t>
  </si>
  <si>
    <t>Transport Layer Security</t>
  </si>
  <si>
    <t>UCI</t>
  </si>
  <si>
    <t>Unemployment Compensation Intercept</t>
  </si>
  <si>
    <t>USPS</t>
  </si>
  <si>
    <t>United States Postal Service</t>
  </si>
  <si>
    <t>VA</t>
  </si>
  <si>
    <t>Veterans Affairs</t>
  </si>
  <si>
    <t>VM</t>
  </si>
  <si>
    <t>Virtual Machine</t>
  </si>
  <si>
    <t>W3C</t>
  </si>
  <si>
    <t>World Wide Web Consortium</t>
  </si>
  <si>
    <t>XLS, XLSX</t>
  </si>
  <si>
    <t>Excel Spreadsheet file format</t>
  </si>
  <si>
    <t>XML</t>
  </si>
  <si>
    <t>Extensible Markup Language</t>
  </si>
  <si>
    <t>Requirement Details</t>
  </si>
  <si>
    <t>Vendor Response</t>
  </si>
  <si>
    <t>Type</t>
  </si>
  <si>
    <t>Business Area / Category</t>
  </si>
  <si>
    <t>Mandatory?</t>
  </si>
  <si>
    <t>Benefitting Program</t>
  </si>
  <si>
    <t>Requirement Will be Met?</t>
  </si>
  <si>
    <t>Native/Config/Coding</t>
  </si>
  <si>
    <t xml:space="preserve">Offeror Comments (Optional) </t>
  </si>
  <si>
    <t>The system vendor must provide and maintain a data dictionary.</t>
  </si>
  <si>
    <t>Technical</t>
  </si>
  <si>
    <t>Architecture</t>
  </si>
  <si>
    <t>Y</t>
  </si>
  <si>
    <t>SNAP,DSNAP,SNAP E&amp;T,TANF,TANF,CSE,CCPP</t>
  </si>
  <si>
    <t>The system must manage both structured and unstructured data (e.g., may include audio, video, and unstructured text such as the body of an e-mail message, web page, or word processor document).</t>
  </si>
  <si>
    <t>The system must be compliant with accessibility standards and assistive/adaptable technology accommodations under the latest or most current Federal and State regulations, including but not limited to: ADA (section508.gov) and W3C (w3.org).</t>
  </si>
  <si>
    <t>The system architecture must be an integrated human services platform that includes cloud-native technologies</t>
  </si>
  <si>
    <t>The system must be hosted in a federally compliant cloud-based or hybrid-cloud based hosting model (public, private, or government cloud).</t>
  </si>
  <si>
    <t>The system architecture must comply with State and Federal security and privacy requirements for public, community and private clouds, including compliance with NIST 800-53 Rev. 5.</t>
  </si>
  <si>
    <t>The system architecture must comply with State and Federal security and privacy requirements for public, community and private clouds, including compliance with FedRAMP Moderate.</t>
  </si>
  <si>
    <t>The system architecture must comply with State and Federal security and privacy requirements for public, community and private clouds, including compliance with agency Enterprise Security Policy (MDHS ESP) and Mississippi Information Technology Services (ITS) Enterprise Security policy.</t>
  </si>
  <si>
    <t>The system architecture must comply with State and Federal security and privacy requirements for public, community and private clouds, including compliance with State Off-Site and Cloud Hosting</t>
  </si>
  <si>
    <t>The system architecture must comply with State and Federal security and privacy requirements for public, community and private clouds, including compliance with FNS.</t>
  </si>
  <si>
    <t>The system architecture must comply with State and Federal security and privacy requirements for public, community and private clouds, including compliance with OCSE.</t>
  </si>
  <si>
    <t>The system architecture must comply with State and Federal security and privacy requirements for public, community and private clouds, including compliance with IRS 1075.</t>
  </si>
  <si>
    <t>The system architecture must comply with State and Federal security and privacy requirements for public, community and private clouds, including compliance SSA.</t>
  </si>
  <si>
    <t>The system must provide secure, web-based access with no installation (including plug-ins) required of end-users.</t>
  </si>
  <si>
    <t>The system must be maintained within a secure hosting environment providing all necessary hardware, software, and internet bandwidth to manage the application and support users with RBAC.</t>
  </si>
  <si>
    <t>The system must be accessible on all major operating systems, including Windows and MacOS.</t>
  </si>
  <si>
    <t>The system must include  a native mobile application on the following devices as well as a mobile-friendly web portal:  iOS devices, Android devices, and Windows tablets.</t>
  </si>
  <si>
    <t>The system must maintain compatibility with the three (3) most current versions of the most used browsers, provide data over a web browser interface, and will include the capability to encrypt the data communicated over the network via SSL. Browsers must include Microsoft Edge, Google Chrome, Safari, and Mozilla Firefox.</t>
  </si>
  <si>
    <t>The system must support a responsive design, reactive to the screen of the device that is used, to ensure the system is accessible and functional across browsers or devices.</t>
  </si>
  <si>
    <t>The system must provide the capability for web pages and notices to be enlarged when displayed on small devices such as tablets and smartphones.</t>
  </si>
  <si>
    <t>The system's servers and devices must have event logging enabled, according to Federal and/or State requirements, and as defined by MDHS.</t>
  </si>
  <si>
    <t>The system's event logs must be protected with RBAC.</t>
  </si>
  <si>
    <t>The system's data storage must be located solely in data centers within the United States.</t>
  </si>
  <si>
    <t>The system must be backed up on a consistent schedule, compliant with defined SLAs, and with no impact on system availability or system performance.</t>
  </si>
  <si>
    <t>The system must have all necessary functionalities, such as transactional processing, database back-out capabilities, backup, and restore capabilities, to ensure data integrity.</t>
  </si>
  <si>
    <t>The system must be designed, developed and implemented in compliance with Service Oriented Architecture and microservices governance standards (NIST 800-180).</t>
  </si>
  <si>
    <t>The system must be open and flexible to accommodate current and future enterprise architecture and infrastructure platforms.</t>
  </si>
  <si>
    <t>The system's components should be modular.</t>
  </si>
  <si>
    <t>The system's components should support "reuse" of existing modules.</t>
  </si>
  <si>
    <t>The system's components should support "shared services" for a modular system.</t>
  </si>
  <si>
    <t>The system must have the environments and data necessary to conduct testing of automated Verification Services (Hubs).</t>
  </si>
  <si>
    <t>The system must have the environments and data necessary to conduct testing of interfaces, including APIs.</t>
  </si>
  <si>
    <t>The system must have the environments and data necessary to conduct testing of batch jobs.</t>
  </si>
  <si>
    <t>The system must have the environments and data necessary to conduct testing of conversion.</t>
  </si>
  <si>
    <t>The system must have the environments and data necessary to conduct testing of reports.</t>
  </si>
  <si>
    <t>The system must have the environments and data necessary to conduct testing of web pages.</t>
  </si>
  <si>
    <t>The system must have the environments and data necessary to conduct testing of COTS components.</t>
  </si>
  <si>
    <t>The system must have the environments and data necessary to conduct testing of security: vulnerability.</t>
  </si>
  <si>
    <t>The system must have the environments and data necessary to conduct testing of security: penetration.</t>
  </si>
  <si>
    <t>The system must have the environments and data necessary to conduct testing of performance.</t>
  </si>
  <si>
    <t>The system must have the environments and data necessary to conduct testing of business rule execution.</t>
  </si>
  <si>
    <t>The system must have the environments and data necessary to conduct testing of failover.</t>
  </si>
  <si>
    <t>The system must have the environments and data necessary to conduct testing of disaster recovery.</t>
  </si>
  <si>
    <t>The system must have the environments and data necessary to conduct testing of notice generation.</t>
  </si>
  <si>
    <t>The system must support a dedicated production environment.</t>
  </si>
  <si>
    <t>The system must support a dedicated training environment.</t>
  </si>
  <si>
    <t>The system must support testing of individual components without effecting the production environment.</t>
  </si>
  <si>
    <t>The system must allow the creation of new environments on demand to support agency SDLC process.</t>
  </si>
  <si>
    <t>The system's training and test environments must be de-identified and protect all PHI/PII.</t>
  </si>
  <si>
    <t>The system's training and test environment databases must be able to be refreshed upon request.</t>
  </si>
  <si>
    <t>The system must support FNS system test requirements, including: Unit testing, integration testing, performance testing, end-to-end testing, user acceptance testing, and regression testing.</t>
  </si>
  <si>
    <t>The system must allow for pilot test that includes operating all components of the system in a live environment for a minimum duration of 90 days.</t>
  </si>
  <si>
    <t>The system Pilot Test must be in alignment with the State's complete and final test plan and in accordance with FNS guidelines and regulations.</t>
  </si>
  <si>
    <t>The system must allow the administrative functionality (e.g., changes to security and configuration tables) to be independently controlled in all system environments.</t>
  </si>
  <si>
    <t>The system must not store any data, temporary or otherwise, locally on a user's device.</t>
  </si>
  <si>
    <t>The system must ensure that data can automatically be recovered when an entire transaction does not process completely including network disconnects and system error.</t>
  </si>
  <si>
    <t>The system must utilize Single Sign-On (SSO), integrating with the MDHS's Azure SSO.</t>
  </si>
  <si>
    <t>The system must be available to users 24 hours a day, 7 days a week, 365 days a year, aside from routinely scheduled maintenance.</t>
  </si>
  <si>
    <t>The system must be highly scalable and leverage containerized applications and microservices for deployment utilizing Kubernetes or equivalent.</t>
  </si>
  <si>
    <t>The system must have sufficient storage space and a proactive storage strategy to allow a growing number of clients, cases and affiliated attachments and progress notes without vendor intervention.</t>
  </si>
  <si>
    <t>The system's architecture must support an iterative implementation, with modules implemented according to a mutually agreed-upon schedule. Such an iterative approach must maintain legacy interfaces to ensure no impact on daily operations.</t>
  </si>
  <si>
    <t>The system must capture audit history for all requests and responses to and from Federal and State verification sources.</t>
  </si>
  <si>
    <t>Audit</t>
  </si>
  <si>
    <t>The system must have an auditing mechanism to track and monitor access to all data and security relevant events for all users, collecting identifying fields for each action, in compliance with most recent State and Federal Auditing regulations, by program (e.g., NIST-800-53 Rev 5, OCSE, IRS, SSA). Examples include, but not limited to: user name, user credentials, network location, date, time, current value, and prior value.</t>
  </si>
  <si>
    <t>The system must log all events and actions across all system fields, created or modified by users. Examples include, but not limited to: page/record viewing, record creation, record editing, record deletion, record printing, record searching, system login (both successful and unsuccessful), and system logout.</t>
  </si>
  <si>
    <t>The system must allow audited data to be easily retrievable by users with appropriate permissions based on secure RBAC.</t>
  </si>
  <si>
    <t>The system must search, sort, and filter audit data by user-designated fields. Examples include, but not limited to: business category, program, user ID, case number, change date range, client, provider, and other data fields.</t>
  </si>
  <si>
    <t>The system must capture audit history for updates to client interviews.</t>
  </si>
  <si>
    <t>SNAP,SNAP E&amp;T,TANF,TANF,CSE,CCPP</t>
  </si>
  <si>
    <t>The system must capture audit history of all exchanges with the EBT/Payment vendor for update to issuance/payment status (e.g., benefit issuance status, Vendor payment status).</t>
  </si>
  <si>
    <t>SNAP,DSNAP,SNAP E&amp;T</t>
  </si>
  <si>
    <t>The system must track the actions taken pertaining to voluntary withdrawal of a program from a client's application.</t>
  </si>
  <si>
    <t>SNAP,DSNAP,SNAP E&amp;T,TANF,TANF</t>
  </si>
  <si>
    <t>The system must capture audit history for system configuration elements (e.g. administrative tables) and external system identifiers (e.g., the MDHS' current enterprise document imaging solution).</t>
  </si>
  <si>
    <t>The System must provide lifecycle management of log files (e.g. - archiving according to Federal and State requirements).</t>
  </si>
  <si>
    <t>The system must not allow audit file logs to be edited or deleted by any users.</t>
  </si>
  <si>
    <t>Growth of audit log must not negatively impact system performance.</t>
  </si>
  <si>
    <t>The system must allow audit data to be exported for use with external reporting system and/or data warehouse.</t>
  </si>
  <si>
    <t>The system must have the ability to make data received electronically through any of the interfaces a part of the electronic case record and make it available to users based on RBAC.</t>
  </si>
  <si>
    <t>Functional</t>
  </si>
  <si>
    <t>The system must recognize when common data (as recognized by the Master Person Index) is changed and then share the updates via data exchanges with all applicable systems.</t>
  </si>
  <si>
    <t>The system must apply data validation and edits on data received from inbound interfaces before converting the inbound data into appropriate formats and storing it.</t>
  </si>
  <si>
    <t>The system must interface or allow for data exchanges with vital records agencies.</t>
  </si>
  <si>
    <t>The system will maintain interfaces with Federal, State, interstate, intrastate, and third-party sources/destinations according to MDHS individual programmatic and business rules.</t>
  </si>
  <si>
    <t>The system must perform State data matches through interfaces with other State agency systems, as required by MDHS individual programmatic requirements and business rules.</t>
  </si>
  <si>
    <t>The system must perform Federal data matches, as required by individual MDHS programmatic requirements and business rules.</t>
  </si>
  <si>
    <t>The system must interface with other legacy MDHS IT systems until those systems are integrated into the new MDHS system.</t>
  </si>
  <si>
    <t>The system must have the ability to upload, download, store, and print certified records (e.g., birth certificates, death certificates, etc.)</t>
  </si>
  <si>
    <t>The system must have the ability to submit a manual locate request to several sources.</t>
  </si>
  <si>
    <t>CSE</t>
  </si>
  <si>
    <t>The system must receive automated information back from the Federal Parent Locator Service (FPLS) and record the results of the match in the automated case record and notify the case worker of the results received.</t>
  </si>
  <si>
    <t>The system must have the ability to accept, upload, and store any photographs of the parties obtained through an interface (e.g., motor vehicles for driver's license photos).</t>
  </si>
  <si>
    <t>The system must have the ability to exchange detailed information on worker's compensation claims.</t>
  </si>
  <si>
    <t>The system must have the ability to accept, maintain, and exchange FEIN data as it applies to employers and to minimize duplication of employers from all sources, such as the National Directory of New Hires (NDNH).</t>
  </si>
  <si>
    <t>The system must accept unsolicited locate information from the FPLS as proactive matches occur between State participants registered through the FCR and as State FCR participants are matched to New Hire, Quarterly Wage, and Unemployment Insurance claim records on the NDNH.</t>
  </si>
  <si>
    <t>The system must interface electronically with the State's Title XIX system for the transfer of medical support information, including notifying the Title XIX agency whenever a medical support provision is included in a support order.</t>
  </si>
  <si>
    <t>The system must electronically transmit all required information to provide the Title XIX agency with updates to Title XIX-related information when an order that requires medical support is established, or at the time of a subsequent change. However, if the source of the information is derived from NDNH, FCR, FIDM, or IRS, then the data must be independently verified before it can be released to the Title XIX agency.</t>
  </si>
  <si>
    <t>The system must interface with the MDHS EBT vendor.</t>
  </si>
  <si>
    <t>SNAP,DSNAP,SNAP E&amp;T,TANF,TANF,CSE</t>
  </si>
  <si>
    <t>The system must receive and process EBT history information and update system data as required by individual MDHS programmatic requirements and business rules.</t>
  </si>
  <si>
    <t>SNAP,DSNAP,SNAP E&amp;T,TANF</t>
  </si>
  <si>
    <t>The system must include both a provider and client portal, where users with appropriate credentials can manage their own accounts.</t>
  </si>
  <si>
    <t>Client and provider portal</t>
  </si>
  <si>
    <t>SNAP,DSNAP,SNAP E&amp;T,TANF,TANF,CCPP</t>
  </si>
  <si>
    <t>The system must support authorized third-party agency (outside contractors) access to the system within a public-facing portal that allow them to only view and edit data based on RBAC.</t>
  </si>
  <si>
    <t>The portal must display options for clients to retrieve forgotten usernames or reset forgotten passwords.</t>
  </si>
  <si>
    <t>The portal must have the capability to lock out a user after a configurable number of failed log-in attempts.</t>
  </si>
  <si>
    <t>The portal must enforce minimum password requirements compliant with MDHS security policies.</t>
  </si>
  <si>
    <t>The portal must allow a client to specify or update their preferences. Preferences may include, but are not limited to: preferred method of communication (e.g., e-mail, SMS, phone, etc.), subscription to alerts and notifications (e.g., changes to client record, new messages, referral changes, etc.), and notification types desired.</t>
  </si>
  <si>
    <t>The portal must automatically sign off users (e.g., clients and service providers) after a certain amount of time of inactivity, configurable by MDHS.</t>
  </si>
  <si>
    <t>The portal must utilize responsive design and be device and browser agnostic, allowing users to access through different hardware, including laptop, tablet, and smartphone via dedicated app or web access.</t>
  </si>
  <si>
    <t>The client portal must support self-service capabilities to allow clients to view their case information on-line through the entire life of the case to address the majority of their questions, including but not limited to: their application, redetermination and any changes submitted, other case documentation, and uploaded documents.</t>
  </si>
  <si>
    <t>The portal will allow an authorized representative (a person affiliated with a client) to perform all client functions available through the self-service portal on behalf of the client.</t>
  </si>
  <si>
    <t>The portal will provide clients with access to a mapping site (such as Google maps) with automated directions to MDHS field offices.</t>
  </si>
  <si>
    <t>The system must allow a persons role to change within a case while maintaining the date and history of all role changes.</t>
  </si>
  <si>
    <t>The system must have the capability to perform an automated search for each person upon request by the user. The search criteria must include, but not limited to: first name, last name, middle initial, DOB, SSN, and other system member IDs in order to allow the user to determine if a previous record of the individual exists, if a previous case record exists, all cases associated with the person, and/or whether an order exists in any jurisdiction or county.</t>
  </si>
  <si>
    <t>The system must maintain all Federal and/or State required information and history in a manner that creates clients only once in the system.</t>
  </si>
  <si>
    <t>The system must provide automatic screening of new clients to minimize duplicate entries.</t>
  </si>
  <si>
    <t>The system must check for duplicated clients and cases.</t>
  </si>
  <si>
    <t>The system must report potential duplicate cases and clients.</t>
  </si>
  <si>
    <t>The system must provide client data merge, unmerge, and linking functionality.</t>
  </si>
  <si>
    <t>The system must maintain all address information, including, but not limited to: address status, and date(s) obtained from any source, along with the source identifying information.</t>
  </si>
  <si>
    <t>The system must accommodate international addressing formats.</t>
  </si>
  <si>
    <t>The system must allow a person to have different roles per case.</t>
  </si>
  <si>
    <t>The system must contain a rules hierarchy, based on business needs, to minimize the creation of duplicate addresses, to match and verify addresses, and to identify the sources.</t>
  </si>
  <si>
    <t>The system must capture multiple address types for employers and work locations along with appropriate verified indicators.</t>
  </si>
  <si>
    <t>The system must record and maintain information on multiple active employers for the non-custodial parent (NCP), and whether each is full-time or part-time employment.</t>
  </si>
  <si>
    <t>The system must ensure proper handling of personal identifiable information (PII) and Federal taxpayer information (FTI) as specified in the IRS Publication 1075.</t>
  </si>
  <si>
    <t>The system must allow the client to supply the information requested via electronic methods including but not limited to attaching a scan, sending a fax, and sending a picture or scan via secure email.</t>
  </si>
  <si>
    <t>The system must send clients a notice with key information about their application when their application has been submitted by a third party (e.g., a Community Assistor, worker, or Client Service Representative).</t>
  </si>
  <si>
    <t>SNAP,DSNAP,TANF</t>
  </si>
  <si>
    <t>The system must allow for workers to manually generate an RFI notice to clients.</t>
  </si>
  <si>
    <t>The system must generate notices with corresponding pending verification factors on a configurable schedule for all correction modes (e.g., overpayments, supplements, appeals) for each household member.</t>
  </si>
  <si>
    <t>The system must list all reasons, in plain language, for ineligibility or denial on decision notices.</t>
  </si>
  <si>
    <t>The system must issue an Notice of Adverse Action to a household according to Federal and/or State policy.</t>
  </si>
  <si>
    <t>The system must generate an automated RFI notice, when needed, according to Federal and/or State business rules. Examples include, but not limited to: missing application information, verification of income is needed.</t>
  </si>
  <si>
    <t>The system must send notices to a bulk set or subset of clients for one-time or for periodic events.</t>
  </si>
  <si>
    <t>The system must record the date clients provide information in response to a notice.</t>
  </si>
  <si>
    <t>The system must display for the client the total number of active alerts that are due, overdue, and due in the future.</t>
  </si>
  <si>
    <t>The system must allow clients to request paper notifications.</t>
  </si>
  <si>
    <t>The system must provide display, search, filter and print capabilities to clients for all communications.</t>
  </si>
  <si>
    <t>The system must allow clients to provide an email address to receive notifications.</t>
  </si>
  <si>
    <t>The system must capture electronic signatures for documents that require client signature(s).</t>
  </si>
  <si>
    <t>The system must allow clients to upload documents via mobile devices.</t>
  </si>
  <si>
    <t>The system must tag document images and pictures uploaded by clients with case metadata, such as name, case number, license number, and the purpose of the document.</t>
  </si>
  <si>
    <t>When multiple authorized representatives exist, the system must differentiate the responsibilities between each.</t>
  </si>
  <si>
    <t>The system must recognize when there are pending and/or active programs in the submitted application, and present appropriate change type options for the programs when a client selects the option to report a change on the web portal.</t>
  </si>
  <si>
    <t>The system must allow for the advance notice period expiration date calculation to exclude holidays and non-working days, which include State designated furlough days.</t>
  </si>
  <si>
    <t>The system must only send adequate notice when the participant fails to respond to the second Mid Approval Contact Form notice.</t>
  </si>
  <si>
    <t>The system must send an alert to an assigned case worker's manager when a notice has been auto-suspended more than the number of days allowed by the notice template.</t>
  </si>
  <si>
    <t>The system must require that clients who log into the system after receiving a Mid Approval Contact notice either specify that there are no application changes to report, or report the changes in the system.</t>
  </si>
  <si>
    <t>The system must send a Mid Approval Contact notice, Mid Approval form, and Change Report to all cases on a configurable scheduled basis.</t>
  </si>
  <si>
    <t>The system must send notifications to a clients mobile devices via the clients preferred notification method to notify clients of important milestones, reporting requirements, and other information, including ad hoc notifications from workers.</t>
  </si>
  <si>
    <t>The system must send appointments, reminders, and updates in a format that can be added to a clients mobile device calendar.</t>
  </si>
  <si>
    <t>The system must record all client data updates in the audit trail for the host system, regardless of how the client performed the update.</t>
  </si>
  <si>
    <t>The system must allow RBAC to appropriately credentialed MDHS users to self-administer the application, including the customization and editing of all table values, drop-down lists, fields, on-screen content, and the creation of custom forms.</t>
  </si>
  <si>
    <t>Configuration</t>
  </si>
  <si>
    <t>The system must allow, based on RBAC, system administrators to indicate mandatory and optional fields in forms and pages.</t>
  </si>
  <si>
    <t>The system must allow for configurable character limits on fields and forms.</t>
  </si>
  <si>
    <t>The system must provide the ability for users to format text in the system, on all pages and forms (e.g., capitalization, special characters, highlight, bold, underline).</t>
  </si>
  <si>
    <t>The system must allow designated users/administrators with access to a Forms Generator tool to design custom forms used by workers and providers, such as, but not limited to: referral forms, HIPAA release forms, and application forms.</t>
  </si>
  <si>
    <t>The system must provide version control capabilities to ensure the integrity of all software releases.</t>
  </si>
  <si>
    <t>The system must provide logging and reporting for accessing errors and exceptions.</t>
  </si>
  <si>
    <t>The system must provide a robust error management framework that provides proactive alerts to system administrators when users experience unexpected system errors.</t>
  </si>
  <si>
    <t>The system must provide admin tools and maintenance tools/routines to manage RBAC authorization rights</t>
  </si>
  <si>
    <t>The system must have the ability to automate purging/archiving of cases and case data, based on the MDHS, Federal, and State purging/archiving rules and policy including, but not limited to: inactive records, closed cases, client health information, and any other types or classes of data as defined/authorized by relevant regulation or agency policy.</t>
  </si>
  <si>
    <t>The system must support conversion of legacy system records from multiple data tables within multiple data sources including Adabas and SQL databases.</t>
  </si>
  <si>
    <t>Conversion and migration</t>
  </si>
  <si>
    <t>The system must create conversion data staging tables, loading active and historical data extracted by MDHS from multiple systems. Examples include, but not limited to: MAVERICS, JAWS, METSS, and eFITS.</t>
  </si>
  <si>
    <t>The system must initially load and apply all updates to high-level client index data from all client data sources to a Master Data Management (MDM) tool and synchronize data changes with all contributing systems per the program rules of each system.</t>
  </si>
  <si>
    <t>The system must generate data reconciliation/summary reports that verify the conversion data has successfully been loaded from the staging tables to the new system.</t>
  </si>
  <si>
    <t>The system must generate a random sampling of cases with detailed data that can be used to verify conversion data successfully loaded from the staging tables to the new system.</t>
  </si>
  <si>
    <t>The system must transform legacy system data formats and code values in the staging tables to match the data requirements of the new system.</t>
  </si>
  <si>
    <t>The vendor will work collaboratively with the MDHS to ensure that any migration project is approved by a data governance function before formal testing begins.</t>
  </si>
  <si>
    <t>Prior to any migration, the vendor will ensure all data structures, schemas and data stores (databases, data lakes and other types of temporary or permanent data storage) are documented and approved by a data governance function so that the MDHS possesses clean, well-managed data.</t>
  </si>
  <si>
    <t>The system must adhere to a data governance model, ensuring the data architecture and data management policies result in high data quality and master data management across records, entities, and objects.</t>
  </si>
  <si>
    <t>Data Governance</t>
  </si>
  <si>
    <t>The system must assign a unique high-level client index identifier to each client.</t>
  </si>
  <si>
    <t>The system must share the high-level client index across multiple interfaces.</t>
  </si>
  <si>
    <t>The system must cross-reference the high-level client index without creating duplicates.</t>
  </si>
  <si>
    <t>The system must search, match, and link clients with previously known clients within the MDM prior to creating a new record in the system and MDM.</t>
  </si>
  <si>
    <t>The system must search and display potential client MDM matches based on, but not limited to: fuzzy name search, first name, last name, SOUNDEX first and last names, date of birth, email, phone number, driver's license number, SSN, addresses, alias names, case number, transposed numbers, transposed dates, and program membership status.</t>
  </si>
  <si>
    <t>The system must track and notify other systems of changes to client information using the high-level client index identifier.</t>
  </si>
  <si>
    <t>The system must interface with other systems to exchange client identity via data web service and/or batch processing.</t>
  </si>
  <si>
    <t>The system must merge duplicate clients, designate which client record is the survivor record, and inactivate all duplicate records.</t>
  </si>
  <si>
    <t>The system must unmerge duplicate client records and restore the previously identified duplicate as a survivor.</t>
  </si>
  <si>
    <t>The system must have the ability to perform compound searches by names of married people.</t>
  </si>
  <si>
    <t>The system must have the ability to perform compound searches by names of a parent and child.</t>
  </si>
  <si>
    <t>The system must have the ability to perform compound searches by names of siblings.</t>
  </si>
  <si>
    <t>The system must allow a user to sort the person search list results and filter to create a short-list of potential client matches.</t>
  </si>
  <si>
    <t>The system must support wildcard or partial searches to help minimize duplicate client index identifiers.</t>
  </si>
  <si>
    <t>The system must leverage an industry-recognized third-party solution for MDM, with a preference for Open Source standards.</t>
  </si>
  <si>
    <t>The system must provide the user with a unified view of the status and disposition of client services via the MDM tool.</t>
  </si>
  <si>
    <t>The system must use the MDM as the system of record/single source of truth for client data.</t>
  </si>
  <si>
    <t>The system must integrate with the existing document solution (Worksite) to support tracking and efficiently scanning of documents and preparing them for further processing. This may include the ability to attach a scanned document(s) to a case/client record. These could include any documents associated with a client's case and can be received in hard copy, via fax and include, but are not limited to: applications, referrals, returned mail, and supporting documentation.</t>
  </si>
  <si>
    <t>Document management</t>
  </si>
  <si>
    <t>The system must support the user to search for a client and associate a scanned document with the client's case. If the document is a new application, the system must allow the user to create a new account.</t>
  </si>
  <si>
    <t>The system must track notes of electronic signatures.</t>
  </si>
  <si>
    <t>The system must support the ability for users to change the status of a scanned image. Status tags include but are not limited to: not reviewed, reviewed, and approved.</t>
  </si>
  <si>
    <t>The system must automatically assign a document/transaction ID, create a work task, and assign the work task to a worker for all new documents added to the document repository, except when a document is pending.</t>
  </si>
  <si>
    <t>The system must allow a worker to update document metadata in the document repository when a document that was incorrectly linked to a client and/or case is corrected.</t>
  </si>
  <si>
    <t>The system must provide document metadata file for images captured by the document management system.</t>
  </si>
  <si>
    <t>The system must allow a misfiled document to be dissociated from one client or case and be associated with the correct client or case.</t>
  </si>
  <si>
    <t>The system must track a read-only document uploaded date as well as an editable document received date (or other date field as defined by the MDHS).</t>
  </si>
  <si>
    <t>The system must apply RBAC on documents and forms.</t>
  </si>
  <si>
    <t>The system must search and display correspondence stored in the documentation management system without exiting the system's web application.</t>
  </si>
  <si>
    <t>The system must automatically update document search indexes and keywords based on the document type uploaded.</t>
  </si>
  <si>
    <t>The system must update the search indexes and keywords with user-entered form data when a document is uploaded.</t>
  </si>
  <si>
    <t>The system must maintain document identifiers for all client program documentation generated or received that has been stored in the MDHS document imaging and storage solution.</t>
  </si>
  <si>
    <t>The system must display a searchable and filterable list of documents that can be used by workers, clients, and other authorized users to find and display document images.</t>
  </si>
  <si>
    <t>The system must support users in categorizing each scanned document based on preconfigured categories (e.g., by document type).</t>
  </si>
  <si>
    <t>The system must make categorized scanned documents accessible to users based on their role-based access and applicable case status.</t>
  </si>
  <si>
    <t>The system must provide users with the ability to enter additional information about an attachment including text comments in a note field.</t>
  </si>
  <si>
    <t>The system must support the worker determining whether the submitted document(s) fulfills the application's documentation requirements. If the document(s) does not, the system must provide the worker with the ability to flag the document(s) for further review.</t>
  </si>
  <si>
    <t>The system must provide the ability to associate a scanned document to a client, including any electronic form of the scanned document (e.g., PDF, JPG, RPG).</t>
  </si>
  <si>
    <t>The system must support the MDHS retention policies (unique to division/program) for all documents stored in the system.</t>
  </si>
  <si>
    <t>The client portal will provide instructions to the client, including but not limited to mailing and drop-off instructions and point of contact for assistance, when additional documentation is required.</t>
  </si>
  <si>
    <t>The system must send notifications to the client and case manager, via their preferred method of communications and/or through the user interface, at predefined events, as defined by MDHS. These can be configured by reason for communication and include, but are not limited to: documents processed, documents rejected, documents still missing, and vital documents that are due to be renewed (e.g., annual beneficiary documents).</t>
  </si>
  <si>
    <t>The chosen document management solution must automatically compress documents/attachment to maximize storage space.</t>
  </si>
  <si>
    <t>The system must include ability for digital scanning and Optical Character Recognition (OCR) of typed, hand-written, or printed text forms/other documents to minimize data entry.</t>
  </si>
  <si>
    <t>The document management system must allow the users to sort the order of files associated with the case</t>
  </si>
  <si>
    <t>The document management system must allow the users to personalize and save their preference of the sort order of files associated with the case</t>
  </si>
  <si>
    <t>The system must calculate the child fee according to Federal and/or State business rules.</t>
  </si>
  <si>
    <t>CCPP</t>
  </si>
  <si>
    <t>The system must determine the correct parent fee in cases where parents have joint custody or share custody of their children and both parents are eligible to receive Child Care assistance.</t>
  </si>
  <si>
    <t>The system must determine eligibility for children in foster or kinship/relative care according to Federal and/or State business rules.</t>
  </si>
  <si>
    <t>The system must calculate the number of hours of Child Care a family is eligible for according to Federal and/or State business rules.</t>
  </si>
  <si>
    <t>The system must determine eligibility for job search time according to Federal and/or State business rules.</t>
  </si>
  <si>
    <t>TANF,TANF,CCPP</t>
  </si>
  <si>
    <t>The system must calculate the provider payment amount per child according to Federal and/or State business rules.</t>
  </si>
  <si>
    <t>The system must re-determine eligibility and recalculate benefits if changes in the application occur in the middle of an approval period.</t>
  </si>
  <si>
    <t>The system must auto-deny when clients do not respond timely to a renewal notice.</t>
  </si>
  <si>
    <t>SNAP,SNAP E&amp;T,TANF,TANF,CCPP</t>
  </si>
  <si>
    <t>The system must recognize when a renewal or mid-approval timeframe is applicable and not auto-deny or take other adverse actions until a clients allowed timeframe to respond is expired.</t>
  </si>
  <si>
    <t>The system must pre-populate application information (i.e., not requiring all application information to be re-entered) when a client reports change(s) to have eligibility re-determined.</t>
  </si>
  <si>
    <t>The system must determine client eligibility for an extension of program eligibility according to Federal and/or State business rules.</t>
  </si>
  <si>
    <t>The system must calculate the portion of benefit/service payments to be sent directly to the provider.</t>
  </si>
  <si>
    <t>The system must assess whether the applicant has a relative who meets the definition of a non-certified relative Child Care provider (assuming the applicant wants to use a relative provider).</t>
  </si>
  <si>
    <t>The system must calculate provider/service payments based on contracted rates and service utilization.</t>
  </si>
  <si>
    <t>The system must calculate and assign fee level and fee level effective dates.</t>
  </si>
  <si>
    <t>The system must flag high risk criteria cases for secondary level review prior to eligibility being approved.</t>
  </si>
  <si>
    <t>The system must create verification checklists.</t>
  </si>
  <si>
    <t>The system must prevent denying an application according to Federal and/or State business rules.</t>
  </si>
  <si>
    <t>The system must automatically deny an application based on Federal and/or State business rules.</t>
  </si>
  <si>
    <t>The system must prevent denying or terminating a case during a configurable time period per program area.</t>
  </si>
  <si>
    <t>The system must use information from the application to determine eligibility for all programs selected by clients.</t>
  </si>
  <si>
    <t>The system must determine eligibility and/or benefit calculations according to Federal and/or State business rules for programs selected by clients.</t>
  </si>
  <si>
    <t>The system must allow the entry of information about benefits received from another state according to Federal and/or State business rules.</t>
  </si>
  <si>
    <t>The system must provide an intake tracker that triages applications based on order received and potential emergency needs.</t>
  </si>
  <si>
    <t>The system must retain historical information on how an eligibility determination was made, in accordance with applicable Federal and/or State business rules at the time the determination was made.</t>
  </si>
  <si>
    <t>The system must check applicants against DSNAP denied applications.</t>
  </si>
  <si>
    <t>SNAP,DSNAP</t>
  </si>
  <si>
    <t>The system must check if a DSNAP applicant is currently enrolled in SNAP.</t>
  </si>
  <si>
    <t>The system must check residence ZIP codes against those within an authorized disaster area.</t>
  </si>
  <si>
    <t>The system must allow the extension of DSNAP benefits to households who had a member who worked (but may not live) in the authorized disaster area and lost income due to the disaster event.</t>
  </si>
  <si>
    <t>The system must capture information that can be used to determine whether clients are potentially eligible for worker's compensation and disability benefits.</t>
  </si>
  <si>
    <t>SNAP,SNAP E&amp;T,TANF,TANF</t>
  </si>
  <si>
    <t>The system must capture medical expenses related to Child Care.</t>
  </si>
  <si>
    <t>The system must calculate destitute provisions for income of migrants.</t>
  </si>
  <si>
    <t>The system must calculate household gross total earned income.</t>
  </si>
  <si>
    <t>SNAP,TANF,CCPP</t>
  </si>
  <si>
    <t>The system must calculate household earned income utilizing various collected data elements for household members.</t>
  </si>
  <si>
    <t>The system must calculate the earned income deduction when earned income is reported.</t>
  </si>
  <si>
    <t>The system must calculate household gross total unearned income.</t>
  </si>
  <si>
    <t>The system must allow adjustments to unearned income.</t>
  </si>
  <si>
    <t>The system must allow offset(s) from unearned income, including net losses from farm self-employment.</t>
  </si>
  <si>
    <t>The system must capture the verification of earned and unearned income types/sources.</t>
  </si>
  <si>
    <t>The system must identify whether earned or unearned income is included/excluded based on program type and Federal and/or State business rules.</t>
  </si>
  <si>
    <t>SNAP,DSNAP,TANF,CCPP</t>
  </si>
  <si>
    <t>The system must be able to attribute disqualified or non-eligible household member's earned or unearned income to the household income.</t>
  </si>
  <si>
    <t>The system must track household member resource types. Examples include, but not limited to: vehicles, real estate, liquid resources.</t>
  </si>
  <si>
    <t>The system must identify transfer of resources or redirected income.</t>
  </si>
  <si>
    <t>The system must capture the verification of resource types/sources.</t>
  </si>
  <si>
    <t>The system must identify whether resources are included/excluded based on program type and Federal and/or State business rules.</t>
  </si>
  <si>
    <t>The system must be able to attribute disqualified or non-eligible household member's resources to the household.</t>
  </si>
  <si>
    <t>The system must process the eligibility for excess medical deduction for disabled or elderly.</t>
  </si>
  <si>
    <t>The system must capture total monthly medical expenses.</t>
  </si>
  <si>
    <t>The system must correctly calculate allowable individual monthly expenses.</t>
  </si>
  <si>
    <t>The system must correctly apply the medical expense deductions to the household.</t>
  </si>
  <si>
    <t>The system must capture the verification of medical expense types/sources.</t>
  </si>
  <si>
    <t>The system must be able to attribute disqualified household member medical expenses to the household.</t>
  </si>
  <si>
    <t>The system must be able to capture information related to household total monthly dependent care expenses.</t>
  </si>
  <si>
    <t>The system must be able to capture information related to individual monthly dependent care expenses.</t>
  </si>
  <si>
    <t>The system must be able to capture information related to eligibility for dependent care deduction.</t>
  </si>
  <si>
    <t>The system must capture the verification of dependent care expense type/sources.</t>
  </si>
  <si>
    <t>The system must identify whether dependent care expenses are included/excluded based on program type.</t>
  </si>
  <si>
    <t>The system must be able to attribute disqualified household member dependent care expenses to the household.</t>
  </si>
  <si>
    <t>The system must disallow dependent care deductions if care is reimbursed by or paid by another source.</t>
  </si>
  <si>
    <t>The system must capture total shelter expenses.</t>
  </si>
  <si>
    <t>The system must capture individual shelter deductions. Examples include, but not limited to: property insurance, utility expenses, and receipt of other public assistance.</t>
  </si>
  <si>
    <t>The system must capture and apply shelter deductions and apply Federal and/or State business rules to determine the payment standard.</t>
  </si>
  <si>
    <t>The system must correctly calculate various allowances.</t>
  </si>
  <si>
    <t>The system must correctly enforce maximum deductions, when applicable.</t>
  </si>
  <si>
    <t>The system must allow for and support for the SNAP homeless shelter/utility deduction.</t>
  </si>
  <si>
    <t>The system must allow disabled/elderly excess shelter expenses.</t>
  </si>
  <si>
    <t>The system must apply the excess shelter cap for non-elderly/disabled household members.</t>
  </si>
  <si>
    <t>The system must record the type of utility expense allowed based on the option Federal and/or State business rules.</t>
  </si>
  <si>
    <t>The system must capture the verification of shelter expense types/sources.</t>
  </si>
  <si>
    <t>The system must identify whether shelter expenses are included/excluded based on program type.</t>
  </si>
  <si>
    <t>The system must be able to attribute disqualified household member shelter expenses to the household.</t>
  </si>
  <si>
    <t>The system must calculate standard deductions based on household size.</t>
  </si>
  <si>
    <t>The system must appropriately include child support payments as recognized deductions where applicable.</t>
  </si>
  <si>
    <t>The system must differentiate between obligated deductions and amount paid.</t>
  </si>
  <si>
    <t>The system must track verification of expenses/deductions by type/source.</t>
  </si>
  <si>
    <t>SNAP,TANF</t>
  </si>
  <si>
    <t>The system must track the resource disregard for eligible households.</t>
  </si>
  <si>
    <t>The system must calculate the gross income disregard for eligible households.</t>
  </si>
  <si>
    <t>The system must disregard net income limit for categorically eligible 1 and 2 person households.</t>
  </si>
  <si>
    <t>The system must capture and track household members registered in work programs.</t>
  </si>
  <si>
    <t>The system must track the reason for work exemption.</t>
  </si>
  <si>
    <t>The system must identify E&amp;T mandatory participants.</t>
  </si>
  <si>
    <t>The system must convert income calculations to monthly.</t>
  </si>
  <si>
    <t>The system must calculate an average of the client's income/expenses over the certification period, where appropriate.</t>
  </si>
  <si>
    <t>The system must show the proration amount.</t>
  </si>
  <si>
    <t>The system must determine eligibility for expedited service.</t>
  </si>
  <si>
    <t>The system must flag applications for expedited services.</t>
  </si>
  <si>
    <t>The system must capture the expedited service determination date.</t>
  </si>
  <si>
    <t>The system must capture the effective dates (start date and end date) of all updates to application data.</t>
  </si>
  <si>
    <t>The system must create program benefit groups that include and exclude household members according to Federal and/or State business rules.</t>
  </si>
  <si>
    <t>The system must allow for configuration of Federal and/or State business rules for verification requirements.</t>
  </si>
  <si>
    <t>The system must auto-deny applications without worker review and approval when there is a failure to complete the interview in the allowed time according to Federal and/or State business rules.</t>
  </si>
  <si>
    <t>The system must auto-deny applications without worker review and approval when there is a failure to provide verification of eligibility factors in the allowed time according to Federal and/or State business rules.</t>
  </si>
  <si>
    <t>The system must check for duplicate participation by person for all programs.</t>
  </si>
  <si>
    <t>The system must allow dispositions of eligibility for months prior to the month of application according to Federal and/or State business rules.</t>
  </si>
  <si>
    <t>The systems must provide workers the capability to run the eligibility rules at any point after a clients has provided an identifiable application.</t>
  </si>
  <si>
    <t>The system must provide a hierarchical or cascading eligibility determination approach to deliver the optimum benefits to each household member.</t>
  </si>
  <si>
    <t>The system must calculate the benefit prior to eligibility approval.</t>
  </si>
  <si>
    <t>The system must create and retain a budget worksheet for every eligibility decision performed.</t>
  </si>
  <si>
    <t>The system must display the budget worksheet for each eligibility determination.</t>
  </si>
  <si>
    <t>The system must provide the ability to add, change, or remove verification factors.</t>
  </si>
  <si>
    <t>The system must capture and display when application data has been verified by an external verification source.</t>
  </si>
  <si>
    <t>The system must allow workers to manually enter a verification when automated verification cannot be performed.</t>
  </si>
  <si>
    <t>The system must allow workers to manually generate verification requests external verification sources according to Federal and/or State business rules.</t>
  </si>
  <si>
    <t>The system must provide the ability for workers to attach documents, voice recordings, etc. in various formats (e.g., PDF, Word, Midi, etc.) to satisfy eligibility verification requirements.</t>
  </si>
  <si>
    <t>The system must calculate the dependent care deduction for the SNAP and TANF programs.</t>
  </si>
  <si>
    <t>The system must allow users to print an eligibility summary or completed application for client review.</t>
  </si>
  <si>
    <t>The system must allow for retrospective eligibility where appropriate.</t>
  </si>
  <si>
    <t>The system must support mass automated changes to eligibility factors and benefits based on Federal and/or State business rules.</t>
  </si>
  <si>
    <t>The system must allow for mass changes to recalculate eligibility based on annual COLAs received from the SSA.</t>
  </si>
  <si>
    <t>The system must automatically re-determine eligibility based on mass changes.</t>
  </si>
  <si>
    <t>The system must prevent other Federal and State DSH verification checks during mass change processes. Examples include, but not limited to: SSA COLA, SNAP Thrifty Food Plan</t>
  </si>
  <si>
    <t>The system must recalculate eligibility for renewals according to Federal and/or State business rules.</t>
  </si>
  <si>
    <t>The system must carry forward permanent verification factors for renewals.</t>
  </si>
  <si>
    <t>The system must run eligibility rules, including verification using the new information and will compare to the information from the prior application.</t>
  </si>
  <si>
    <t>The system must provide the capability to add new verification factors to a case.</t>
  </si>
  <si>
    <t>The system must recalculate eligibility and the benefit amount, allowing for an NOAA.</t>
  </si>
  <si>
    <t>The system must verify application details in the middle of an approval period.</t>
  </si>
  <si>
    <t>The system must have a substance abuse questionnaire to indicate any possible substance abuse disorder.</t>
  </si>
  <si>
    <t>TANF,TANF</t>
  </si>
  <si>
    <t>The system must track and alert worker of limited benefits, i.e., TANF, transitional childcare and transportation, and work program exemptions.</t>
  </si>
  <si>
    <t>The system must provide the ability for an individual to submit an application to become an enrolled provider with only the minimum application data elements required.</t>
  </si>
  <si>
    <t>The system must allow users to set a start and end date of the prohibition period for a provider prohibited from participation in the subsidy system due to "striking out."</t>
  </si>
  <si>
    <t>The system must support the Child Care provider licensing and certification process according to Federal and/or State business rules.</t>
  </si>
  <si>
    <t>The system must apply a set of predefined criteria to determine the appropriate or applicable level of background clearance/search for each specific situation for Child Care certified homes and non-certified relative providers.</t>
  </si>
  <si>
    <t>The system must facilitate the assessment of the results of the background check information being returned from the background check source(s) by capturing and displaying the returned information.</t>
  </si>
  <si>
    <t>The system must allow users to document that an individual or entity is interested in becoming a service provider.</t>
  </si>
  <si>
    <t>The system must enable service providers to complete and submit a needs assessment prior to completion of an application.</t>
  </si>
  <si>
    <t>SNAP E&amp;T,TANF,TANF,CCPP</t>
  </si>
  <si>
    <t>The system must provide a configurable workflow for the Child Care license application process, including but not limited to, the application, submission, review, approval/denial notification, and issuance of license.</t>
  </si>
  <si>
    <t>The system must prevent the granting of an initial Child Care provider license until all required criteria have been entered and completed.</t>
  </si>
  <si>
    <t>The system must support the application of variances and waivers to certain specific licensing/registration rules, according to Federal and/or State business rules.</t>
  </si>
  <si>
    <t>The system must capture information about each waiver and variance.</t>
  </si>
  <si>
    <t>The system must support the process to review each request for a waiver or variance according to Federal and/or State business rules.</t>
  </si>
  <si>
    <t>The system must support the dual provider waiver process including application, review, and approval or denial.</t>
  </si>
  <si>
    <t>The system must prevent the registration or licensure of any home or facility according to Federal and/or State business rules.</t>
  </si>
  <si>
    <t>The system must capture data related to monitoring activities, including but not limited to data pertaining to the physical inspection of the facility and the determination of compliance with applicable rules.</t>
  </si>
  <si>
    <t>The system must support the on-site evaluation process.</t>
  </si>
  <si>
    <t>The system must capture on-site evaluation notes within the checklist of observable standards.</t>
  </si>
  <si>
    <t>The system must maintain configurable checklists by provider type, which are completed during site visits and inspections.</t>
  </si>
  <si>
    <t>The system must track investigations and inspections of all provider types, including the entry of observations, issues, and case notes.</t>
  </si>
  <si>
    <t>The system must identify provider applications as invalid or withdrawn and include the reason.</t>
  </si>
  <si>
    <t>The system must support the Child Care provider license revocation process.</t>
  </si>
  <si>
    <t>The system must generate checklists of Child Care regulations according to Federal and/or State business rules.</t>
  </si>
  <si>
    <t>The system must provide worksheets for system users to complete capacity computations for indoor and outdoor space according to Federal and/or State business rules.</t>
  </si>
  <si>
    <t>The system must provide worksheets for system users to complete staffing level needed based on staff schedule and capacity by age group according to Federal and/or State business rules.</t>
  </si>
  <si>
    <t>The system must support the provider application decision process according to Federal and/or State business rules.</t>
  </si>
  <si>
    <t>The system must calculate the capacity for a registered home based upon the ages of provider's children according to Federal and/or State business rules.</t>
  </si>
  <si>
    <t>The system must support the secure web-based submission and review of provider applications for quality tier ratings according to Federal and/or State business rules.</t>
  </si>
  <si>
    <t>The system must allow a system user to search for and identify providers who have been previously denied or terminated as a provider.</t>
  </si>
  <si>
    <t>The system must track preservice orientation and training attended by providers.</t>
  </si>
  <si>
    <t>The system must alert specialists for 30, 60, and 90 days tracking of the training requirement.</t>
  </si>
  <si>
    <t>The system must allow a user to enter all residential Child Care and child placing licensing applications according to Federal and/or State business rules.</t>
  </si>
  <si>
    <t>The system must allow the system user to enter information about on-site visits according to Federal and/or State business rules.</t>
  </si>
  <si>
    <t>The system must determine a Child Care provider applicant's exempt status according to Federal and/or State business rules.</t>
  </si>
  <si>
    <t>The system must calculate the base rate according to Federal and/or State business rules.</t>
  </si>
  <si>
    <t>The system must calculate the special needs supplement according to Federal and/or State business rules.</t>
  </si>
  <si>
    <t>The system must calculate the tiered reimbursement supplement according to Federal and/or State business rules.</t>
  </si>
  <si>
    <t>The system must calculate the shift differential rate supplement according to Federal and/or State business rules.</t>
  </si>
  <si>
    <t>The system must suspend Child Care providers according to Federal and/or State business rules.</t>
  </si>
  <si>
    <t>The system must allow users to temporarily or permanently suspend a provider by program and benefit category.</t>
  </si>
  <si>
    <t>The system must electronically transmit any other information prescribed by ACF in instructions that are issued periodically in the form of an Action Transmittal (i.e., OCSE-AT-99-14)</t>
  </si>
  <si>
    <t>The system must provide the functionality to support program operations that occur in multiple agencies and offices.</t>
  </si>
  <si>
    <t>The system must work seamlessly to accommodate casework across multiple state and county offices, as well as agencies outside of MDHS.</t>
  </si>
  <si>
    <t>The system must provide the functionality to interface with the Mississippi court's eFiling system for enhanced access to, and provision of vital information during the legal processing of a case (e.g., case status, process, filing court dates, participant information, etc.). When an interface is not possible, the system must allow for the authorized user to upload and download vital case information to the client file.</t>
  </si>
  <si>
    <t>The system must automatically monitor compliance with support orders and initiate enforcement actions.</t>
  </si>
  <si>
    <t>The system must automatically monitor and enforce support obligations.</t>
  </si>
  <si>
    <t>The system must automatically record and maintain the date if the NCP fails to make payments in an amount equal to the support payable for one month or an earlier date in accordance with State law</t>
  </si>
  <si>
    <t>By the beginning of the month following the month in which the NCP failed to make a payment equal to the support payable for one month, the system must automatically initiate income withholding and other appropriate enforcement actions</t>
  </si>
  <si>
    <t>The system must stop benefits based on the appeal decision.</t>
  </si>
  <si>
    <t>The system must identify cases qualifying for credit bureau reporting and automatically transmit information. The system must also provide periodic updates of case financial data to the credit bureaus.</t>
  </si>
  <si>
    <t>The system must provide the functionality to suspend and reinstate licenses electronically and manually including, but not limited to driver's licenses, recreational licenses, and other professional licenses on qualifying cases.</t>
  </si>
  <si>
    <t>The system must support administrative income withholding activities when specified delinquency criteria are met, including automatically reinitiating arrears payment obligation from a prior court order when arrears subsequently reaccumulate.</t>
  </si>
  <si>
    <t>The system must automatically take available actions based on enforcement remedy business rules, or notify a staff member if manual review and decision-making is required based on business rules.</t>
  </si>
  <si>
    <t>The system must accommodate MS-specific rules regarding Final Balance settlement (for a lump sum payment).</t>
  </si>
  <si>
    <t>The system must support employer enforcement activities, including form/notice generation, activity workflow, and activity scheduling.</t>
  </si>
  <si>
    <t>The system must support MS court actions.</t>
  </si>
  <si>
    <t>The system must maintain all data fields required for or resulting from any court actions.</t>
  </si>
  <si>
    <t>The system must provide for universal MS-wide judicial forms for both IV-D and non-IV-D actions, while also allowing flexibility for local form requirements where jurisdictions require it.</t>
  </si>
  <si>
    <t>The system must Interface with the judicial systems for form creation and version tracking (includes judicial, federal, and other entities).</t>
  </si>
  <si>
    <t>The system must have the ability, or interface with a system, to create MS-specific cash register information, including information on payments made in the offices, generation of receipts, and necessary end of day reconciliation. In addition, the system must have a real-time way solution for processing cash payments.</t>
  </si>
  <si>
    <t>The system must have the ability to summarize what is known on each individual based on MS business rules for use in the court.</t>
  </si>
  <si>
    <t>The system must have the ability to collect and analyze information regarding a "present ability to pay" per OCSE Final Rule, January 2017.</t>
  </si>
  <si>
    <t>The system must monitor, track, and maintain aging for all court actions (e.g., civil contempt, criminal contempt), to ensure actions proceed in accordance with established business rules.</t>
  </si>
  <si>
    <t>The system must provide for court-ordered exemptions from specific enforcement remedies. It must record the establishment and removal of exemptions to the case chronology and incorporate specific exemptions into enforcement monitoring logic.</t>
  </si>
  <si>
    <t>The system must support administrative income withholding activities.</t>
  </si>
  <si>
    <t>The system must automatically initiate income withholding for all support orders established or modified on or after November 1, 1990 (immediate withholding cases) unless the administrative/judicial order indicates that there is a demonstration of good cause for not withholding which is acceptable to the court or administrative authority</t>
  </si>
  <si>
    <t>The system must automatically initiate income withholding for all support orders established or modified on or after November 1, 1990 (immediate withholding cases) unless the administrative/judicial order indicates that the parties have signed an agreement for an alternative arrangement.</t>
  </si>
  <si>
    <t>The system must initiate income withholding for support obligations if arrearages occur, without the need for a judicial or administrative hearings.</t>
  </si>
  <si>
    <t>The system must accommodate rules to capture special accounts and obligation types, (e.g., 20% extra for current support).</t>
  </si>
  <si>
    <t>The system must ensure that accounts follow the child when custodial parties change.</t>
  </si>
  <si>
    <t>The system must have the ability to allow guardians with custody of a child to be designated as CP or NCP on a child support case.</t>
  </si>
  <si>
    <t>The system must handle Unreimbursed Public Assistance (URA) in accordance with business rules.</t>
  </si>
  <si>
    <t>The system must automatically generate a notice to the employer for immediate wage withholding upon receiving notice of income and income source recognized by the State, or receiving information regarding a newly hired employee entered into the State Directory of New Hire (SDNH).</t>
  </si>
  <si>
    <t>The system must generate a notice to the employer of the amount to be withheld from the NCP's wages and a statement that the amount actually withheld for support purposes (including a fee) may not be in excess of the maximum amounts permitted under the Consumer Credit Protection Act.</t>
  </si>
  <si>
    <t>The system must generate a notice that the employer must send the amount to the SDU within seven business days of the date the NCP is paid, and must report to the SDU the date on which the amount was withheld from the NCP's wages.</t>
  </si>
  <si>
    <t>The system must generate a notice to the employer that the employer may deduct a fee established by the State for administrative costs incurred for each withholding, if the State permits a fee to be deducted.</t>
  </si>
  <si>
    <t>The system must generate a notice to the employer that the withholding is binding on the employer until further notice by the State.</t>
  </si>
  <si>
    <t>The system must generate a notice to the employer that the employer is subject to a fine for discharging a NCP from employment, refusing to employ, or taking disciplinary action against the NCP because of the withholding.</t>
  </si>
  <si>
    <t>The system must generate a notice to the employer that if the employer fails to withhold income in accordance with the provisions of the notice, the employer is liable for the accumulated amount the employer should have withheld from the NCP's income.</t>
  </si>
  <si>
    <t>The system must generate a notice to the employer that the withholding shall have priority over any other legal process under State law against the same income.</t>
  </si>
  <si>
    <t>The system must generate a notice to the employer that the employer may combine withholding amounts from multiple NCPs income in a single payment to each State Disbursement Unit requesting withholding, if they separately identify the portion of the single payment which is attributable to each individual NCP.</t>
  </si>
  <si>
    <t>The system must generate a notice to the employer that the employer must withhold from the NCPs income the amount specified in the notice and pay such amount to the SDU within seven business days after the date the income would have been paid to the NCP.</t>
  </si>
  <si>
    <t>The system must generate a notice to the employer that the employer must notify the State promptly when the NCP terminates employment and provide the NCP's last known address and the name and address of the NCP's new employer, if known.</t>
  </si>
  <si>
    <t>The system must send a notice to the NCP which informs the NCP of the income withholding.</t>
  </si>
  <si>
    <t>The system must send a notice to inform the NCP that the withholding has commenced.</t>
  </si>
  <si>
    <t>The system must send a notice to inform the NCP of the amount of overdue support that is owed and the amount to be withheld.</t>
  </si>
  <si>
    <t>The system must send a notice to inform the NCP that the provisions of withholding apply to any current or subsequent employer or period of employment.</t>
  </si>
  <si>
    <t>The system must send a notice to inform the NCP of the procedures available for contesting the withholding and that the only basis for contesting is a mistake of fact.</t>
  </si>
  <si>
    <t>The system must send a notice to inform the NCP of the information contained in the employer's notice.</t>
  </si>
  <si>
    <t>If a NCP has contested withholding the system must automatically generate the documents required to inform a NCP of the State's decision as to whether withholding is modified, the amount to be withheld, and the effective date of the change.</t>
  </si>
  <si>
    <t>The system must automatically generate the data to populate the data elements and print a copy of the Standardized Income Withholding form to the NCP's employer to initiate withholding within two business days after the case becomes subject to withholding.</t>
  </si>
  <si>
    <t>The system must automatically generate all notices and letters needed to support income withholding activities, including enforcement forms and letters when employers are not in compliance.</t>
  </si>
  <si>
    <t>The system must automatically take next actions and initiate workflow management tasks when employers are not in compliance with program requirements.</t>
  </si>
  <si>
    <t>The system must maintain information in the case record on the documents generated in support of income withholding including, but not limited to, the type of document, recipient, and the date the document was sent.</t>
  </si>
  <si>
    <t>The system must receive information regarding income withholding, which is electronically transmitted by the employer to the State's bank.</t>
  </si>
  <si>
    <t>The system must allow all employers the option of using Electronic Funds Transfer/ Electronic Data Interchange (EFT/EDI) for the transmittal of income withholdings to the SDU.</t>
  </si>
  <si>
    <t>The system must generate notices to employers that contain information regarding the procedures and format to be used in submitting withholdings using EFT/EDI.</t>
  </si>
  <si>
    <t>The system's EFT/EDI procedures and formats must conform to the requirements defined by the National Automated Clearinghouse Association (NACHA).</t>
  </si>
  <si>
    <t>The State system and any SDU front-end system must accept from the employer the date of withholding (i.e., date of collection) to record as the date of collection for income withholding cases, when the State has not opted to use the date of receipt by the State as the date of collection.</t>
  </si>
  <si>
    <t>The system must automatically allocate amounts received by withholding, when there is more than one notice for withholding against the NCP, among obligations subject to withholding with priority given to current support.</t>
  </si>
  <si>
    <t>The system must provide IV-D staff members with online access to automated sources of NCP employer and wage information maintained by the State, by either establishing an electronic link or by obtaining an extract of the database and placing it online.</t>
  </si>
  <si>
    <t>The system must produce delinquency reports to monitor obligor and employer compliance with income withholding orders.</t>
  </si>
  <si>
    <t>The system must have the ability to generate a system alert to the CS worker at the initiating agency or the out of state agency when a payment from an IWO is not received that includes the NCP contact information and the employer subject to the IWO.</t>
  </si>
  <si>
    <t>The system must identify cases in which there are two or more verified employers allowing an employer to be designated as "primary" and take the next action, including notification of the staff member, and initiate workflow when the primary employer withholding is not meeting the full obligation(s).</t>
  </si>
  <si>
    <t>The system must send and receive electronic versions of the income withholding orders (e-IWO).</t>
  </si>
  <si>
    <t>The system must support enforcement remedies via interfaces with other agencies.</t>
  </si>
  <si>
    <t>The system should have the ability to send an income withholding notice to DFAS in the case of military members (active, reserve, National Guard, retired) and civilian personnel working for DoD or other federal agencies serviced by DFAS. (Optional)</t>
  </si>
  <si>
    <t>N</t>
  </si>
  <si>
    <t>The system should have the ability to send an income withholding notice to the U.S. Coast Guard Pay and Personnel Center, if the obligor is Coast Guard (active, retired military, or civilian personnel). (Optional)</t>
  </si>
  <si>
    <t>The system should have the ability to suppress sending an income withholding directly to an employer in another state if the state already has an intergovernmental case open. (Optional)</t>
  </si>
  <si>
    <t>The system must automatically support Federal tax refund offset. The system must automatically identify and allow for State initiated exclusions for IV-A and Foster Care cases where the amount of past-due support owed is not less than $150. If the assigned support amounts from the same obligor appear in multiple cases, the State will combine them to reach $150.</t>
  </si>
  <si>
    <t>The system must automatically identify and allow for State initiated exclusions based on Federal and/or State business rules.</t>
  </si>
  <si>
    <t>The system must automatically identify and allow for State initiated exclusions any other cases where the support is owed to or is on behalf of a child.</t>
  </si>
  <si>
    <t>The system must automatically identify and allow for State initiated exclusions any other cases where the amount of support owed is not less than $500 (the State may combine support amounts from the same obligor in multiple cases where the IV-D agency is providing IV-D services under 45 CFR 302.33 to reach $500).</t>
  </si>
  <si>
    <t>The system must automatically identify and allow for State initiated exclusions any other cases where the support is owed on behalf of a spouse, when the CP is living with the child and child and spousal support are included in the same order.</t>
  </si>
  <si>
    <t>The system must automatically identify and allow for State initiated exclusions any other cases where the support is owed on behalf of a disabled adult with a current support order, who is deemed disabled, as a minor, under Title II or XVI of the Social Security Act (SSA).</t>
  </si>
  <si>
    <t>The system must automatically identify and allow for State initiated exclusions any other cases where, at the State option, the amount has accrued since the IV-D agency began to enforce the support order.</t>
  </si>
  <si>
    <t>The system must automatically identify and allow for State initiated exclusions any other cases where the State has checked to determine if a IV-A or Foster Care maintenance assigned arrearage exists with respect to the non-IV-A individual or family.</t>
  </si>
  <si>
    <t>The system must provide for an automated interface with SSA's communication network to electronically transmit the required case information to the extent specified by Federal and State requirements.</t>
  </si>
  <si>
    <t>The system must generate automated files to notify OCSE of deletions to amounts previously referred for offset or significant changes, as defined by State guidelines.</t>
  </si>
  <si>
    <t>The system must automatically generate an advance notice to the NCP that his/her past-due support will be referred to the IRS for collection that includes the information contained in 45 CFR 303.72(e)(1).</t>
  </si>
  <si>
    <t>The system must automatically generate an advance notice to the non-IV-A CP regarding the distribution of offset amounts.</t>
  </si>
  <si>
    <t>The system must automatically generate a notice to the NCP and in non-IV-A cases, the CP, of the time and place of an administrative review of a complaint regarding the offset.</t>
  </si>
  <si>
    <t>The system must automatically generate documents needed to refund excess amounts to parents.</t>
  </si>
  <si>
    <t>The system must automatically generate a notice referring the NCP to the IRS in cases where a complaint has been received concerning a joint refund which has been offset.</t>
  </si>
  <si>
    <t>The system must automatically generate documents and notices for the post-offset appeal process, if required by state law.</t>
  </si>
  <si>
    <t>The system must automatically generate a CSENet notice to the initiating agency of a request for an administrative review.</t>
  </si>
  <si>
    <t>The system must automatically generate a CSENet notice to the responding agency of the results of an administrative review in cases where an offset has already been made.</t>
  </si>
  <si>
    <t>The system must automatically generate a CSENet notice to the responding agency when the offset is received.</t>
  </si>
  <si>
    <t>Prior to submittal, the system must have automatically verified the NCP's name, Social Security Number (SSN), and amount referred for offset, using automated interfaces (where applicable) with state agencies and other sources.</t>
  </si>
  <si>
    <t>The system must enter in the automated case history all offset, pre-offset, and submittal information, actions, notifications, and results to meet Federal and State requirements.</t>
  </si>
  <si>
    <t>The system must track actions to ensure that within 10 days of the NCP's request for an administrative review in the state with the order, the submitting state must provide the state with the order all necessary information.</t>
  </si>
  <si>
    <t>The system must track actions to ensure that within 45 days of receipt of the information from the submitting State, the system of the State with the order must generate required notices to the appropriate party indicating the time and place of the administrative review, and must track the date of the review and decision.</t>
  </si>
  <si>
    <t>The system must automatically support State tax refund offset.</t>
  </si>
  <si>
    <t>The system must identify cases that the State has determined are appropriate for State tax refund offset, providing exclusions for injured spouse claims.</t>
  </si>
  <si>
    <t>The system must, prior to submittal automatically, verify the NCP's name, SSN, amount of past-due support, and amount referred for offset using automated interfaces (where applicable).</t>
  </si>
  <si>
    <t>The system must notify the appropriate State agency or office of deletions or significant decreases to amounts previously referred for offset.</t>
  </si>
  <si>
    <t>The system must automatically generate all required documents and an advance notice to the CP receiving service under 45 CFR §302.33 informing her/him that, for cases in which an assignment of support rights is made, amounts collected which represent specific dollar amounts designated in the support order for medical purposes will be distributed under 45 CFR §302.51(c).</t>
  </si>
  <si>
    <t>The system must automatically generate all required documents and an advance notice informing the NCP that his/her past-due support will be referred for offset and of the opportunity to contest the referral.</t>
  </si>
  <si>
    <t>The system must automatically generate all required documents and a notice to the NCP and, in non-IV-A cases the CP, of the time and place of an administrative review of a complaint regarding the offset.</t>
  </si>
  <si>
    <t>The system must automatically generate documents needed to refund excess amounts.</t>
  </si>
  <si>
    <t>The system must automatically generate documents required to notify the initiating State of the results of an administrative review in cases where an offset has been made.</t>
  </si>
  <si>
    <t>The system must submit identified cases annually.</t>
  </si>
  <si>
    <t>The system must receive from the responsible State office information pertaining to the NCPs' home address and SSN.</t>
  </si>
  <si>
    <t>The system must maintain all offset submittal information, actions, and results in the automated client record</t>
  </si>
  <si>
    <t>Where action is appropriate under State guidelines, the system must support Mississippi Department of Employment Security (MDES) unemployment compensation intercept (UCI).</t>
  </si>
  <si>
    <t>The system must support both judicial and administrative activities required by State business practices.</t>
  </si>
  <si>
    <t>The system must automatically receive UCI information from MDES.</t>
  </si>
  <si>
    <t>The system must automatically screen information provided by the MDES to determine which individuals applying for or receiving unemployment compensation owe support obligations being enforced by the IV-D agency, and which cases meet the State's criteria for pursuing UCI.</t>
  </si>
  <si>
    <t>The system must automatically or on-demand generate all documents/notifications required to enforce UCI either through a voluntary agreement or, in cases that meet selection criteria, through legal processes pursuant to State law.</t>
  </si>
  <si>
    <t>The system must generate an automated file containing all cases eligible for UCI and transfer this file to the MDES using an electronic interface.</t>
  </si>
  <si>
    <t>The system must support the ability to forward arrearage information to credit reporting agencies.</t>
  </si>
  <si>
    <t>The system must automatically identify cases that meet the State's criteria for providing arrearage information to the credit reporting agencies.</t>
  </si>
  <si>
    <t>The system must automatically generate a file (extract) of, or provide via an interface, arrearage information for submission to credit reporting agencies.</t>
  </si>
  <si>
    <t>The system must support enforcement through IRS full collection services when previous enforcement attempts have failed.</t>
  </si>
  <si>
    <t>The system must automatically identify those cases in which a court or administrative order for support has been issued.</t>
  </si>
  <si>
    <t>The system must automatically identify those cases in which the amount to be collected under the support order is at or above the State-designated minimum arrears amount.</t>
  </si>
  <si>
    <t>The system must automatically identify those cases in which at least six months has elapsed since the last request for referral to the Secretary of the Treasury.</t>
  </si>
  <si>
    <t>The system must automatically identify those cases in which the State requesting the referral has an assignment of support rights under 45 CFR §301.1, or an application or referral under 45 CFR §302.33.</t>
  </si>
  <si>
    <t>The system must automatically identify those cases in which reasonable efforts to collect support through the State's own collection mechanisms have been made by the IV-D agency, client, or client's representative.</t>
  </si>
  <si>
    <t>The system must maintain information necessary to submit a request for IRS full collection services, according to Federal requirements.</t>
  </si>
  <si>
    <t>The system must support the notification of the appropriate ACF Regional Office of changes to the amount of support due, the nature or location of assets, or address of the debtor.</t>
  </si>
  <si>
    <t>In cases where previous enforcement attempts have failed, the system must periodically reinitiate enforcement actions.</t>
  </si>
  <si>
    <t>The system must automatically track dates/time periods and take required actions to reinitiate enforcement actions where previously actions were unsuccessful.</t>
  </si>
  <si>
    <t>The system must support the enforcement of spousal support by recording, monitoring, and taking appropriate actions on spousal support obligations when a spousal support order has been established.</t>
  </si>
  <si>
    <t>The system must support the enforcement of spousal support by recording, monitoring, and taking appropriate actions on spousal support obligations when the spouse or former spouse is living with the child(ren).</t>
  </si>
  <si>
    <t>The system must support the enforcement of spousal support by recording, monitoring, and taking appropriate actions on spousal support obligations when the support order established for the child(ren) is being enforced under the IV-D State plan.</t>
  </si>
  <si>
    <t>The system must initiate necessary enforcement actions when a delinquency is identified.</t>
  </si>
  <si>
    <t>The system must automatically monitor compliance with and support the enforcement of medical support provisions contained within support orders.</t>
  </si>
  <si>
    <t>The system must electronically interface with the State Title XIX system to automatically exchange information required to enforce medical support provisions of the order.</t>
  </si>
  <si>
    <t>The system must automatically generate the National Medical Support Notice for all support orders with a provision for health insurance coverage unless a court or administrative order indicates alternative health care coverage rather than employer-based coverage.</t>
  </si>
  <si>
    <t>The system must, within two business days after entry of employment information in the SDNH regarding an employee who is ordered to provide health care coverage in a IV-D case, automatically transfer the National Medical Support Notice to the employer.</t>
  </si>
  <si>
    <t>If a parent contests withholding, the system must automatically generate the documents required to inform the parent ordered to provide health coverage of the State's decision and, if withholding is to be modified, the nature and effective date of the change.</t>
  </si>
  <si>
    <t>The system must promptly generate a notice to the employer when there is no longer a current order for health insurance coverage enforceable by the IV-D agency.</t>
  </si>
  <si>
    <t>The system must automatically generate all notices and letters needed to support medical support activities, including enforcement forms and letters when employers/health insurance plan administrators are not in compliance.</t>
  </si>
  <si>
    <t>The system must alert the caseworker when information required to fulfill a medical support order has not been received and automatically generate required documents to secure the information.</t>
  </si>
  <si>
    <t>The system must automatically monitor employer and NCP compliance with ordered medical support provisions and prompt needed caseworker action when there is a failure to comply with such orders.</t>
  </si>
  <si>
    <t>The system must periodically exchange data electronically with the State Title XIX agency to determine if there have been lapses in health insurance coverage.</t>
  </si>
  <si>
    <t>The system must, at least once, request employers and other groups offering health insurance coverage to notify the IV-D agency of changes and/or lapses in health insurance coverage.</t>
  </si>
  <si>
    <t>The system should have the ability to accept information on children eligible for Tricare coverage from the FCR match with Department of Defense's DEERS system (Optional).</t>
  </si>
  <si>
    <t>The system must support Administrative Enforcement Interstate (AEI) functions.</t>
  </si>
  <si>
    <t>The system must automatically identify cases that meet the State's criteria for matching of other State's financial institutions or other entities where assets may be found.</t>
  </si>
  <si>
    <t>The system must transmit the amount of support under an order the payment of which is in arrears to the Interstate Data Exchange Consortium (IDEC).</t>
  </si>
  <si>
    <t>The system must transmit the certification that the requesting State has complied with all procedural due process requirements applicable to each case to the IDEC.</t>
  </si>
  <si>
    <t>The system must send collections via electronic funds transfer/electronic data interchange (EFT/EDI) or direct the financial institution to send the funds seized directly to the requesting State using the EFT/EDI NACHA-endorsed FIDM codes.</t>
  </si>
  <si>
    <t>The system must track AEI information including the number of such requests for assistance received, the number of cases for which the State collected support in response to request, and the amount of such collected support. The system must also include the amount of collections on lines 2d and 2f on OCSE Form 34A.</t>
  </si>
  <si>
    <t>The system must support procedures under which the state has (and uses in appropriate cases) authority to withhold, suspend, or restrict the use of driver's licenses, professional and occupational licenses, and recreational and sporting licenses of individuals owing overdue support or failing, after receiving appropriate notice, to comply with subpoenas or warrants relating to paternity/parentage or child support proceedings.</t>
  </si>
  <si>
    <t>The system must automatically, on a periodic basis, identify cases that meet the State's arrears-based license suspension criteria.</t>
  </si>
  <si>
    <t>The system must automatically generate a notice of potential license suspension to each NCP with a IV-D case that meets the State's license suspension criteria.</t>
  </si>
  <si>
    <t>The system must automatically generate all other documents/notifications needed to support the license suspension process, or at a minimum, prompt the caseworker to take action through the system to generate documents in support of such process.</t>
  </si>
  <si>
    <t>The system must support the State's license suspension process through electronic interface(s) and communication with other State agencies.</t>
  </si>
  <si>
    <t>The system must support the State's procedures for passport denial by identifying individuals who owe in excess of $2,500 in arrearage, and then generate notices to such individuals of the determination and consequences, and provide opportunity to contest the determination.</t>
  </si>
  <si>
    <t>The system must, if the NCP responds to notification, generate all required notifications and initiate tracking and aging of the required next action, (e.g., hearings).</t>
  </si>
  <si>
    <t>The system may submit passport denial through the OCSE Child Support Portal (Optional).</t>
  </si>
  <si>
    <t>The system must support procedures and processes to conduct data matches with financial institutions using the IDEC.</t>
  </si>
  <si>
    <t>The system must produce an electronic file of delinquent obligors in the standard FIDM Inquiry File format.</t>
  </si>
  <si>
    <t>The system must accept files (in the standard FIDM Account File format) from the IDEC.</t>
  </si>
  <si>
    <t>The system must identify and flag delinquent obligors for the MS-FIDM process on the Federal Income Tax Refund Offset file.</t>
  </si>
  <si>
    <t>The system must automatically generate State specific FIDM contract documentation.</t>
  </si>
  <si>
    <t>The system must automatically update the case record when a match occurs to include, at a minimum, the name of the financial institution and the record address of the NCP.</t>
  </si>
  <si>
    <t>The system must produce a hard copy report (or form such as a subpoena) for use with those financial institutions not participating in an automated match.</t>
  </si>
  <si>
    <t>The system must produce all documents necessary to attach an asset held by a financial institution or, at a minimum, prompt the caseworker to take action through the system to generate documents in support of the attachment of such an asset.</t>
  </si>
  <si>
    <t>The system must support administrative offset.</t>
  </si>
  <si>
    <t>The system must automatically identify cases where the amount of support owed is not less than $25, and the support has been delinquent for 30 days or longer.</t>
  </si>
  <si>
    <t>The system must automatically generate required notices and documents including an advance notice to the NCP that his/her past-due support will be referred to the IRS for collection that includes the information contained in 45 CFR 303.72(e)(1).</t>
  </si>
  <si>
    <t>The system must electronically transmit administrative offset requests via SSA's communication network with the Federal Tax offset requests. The required data elements include: name, SSN of the individual owing the past-due support, amount of past-due support certified as owed, the State's FIPS, and the case indicator type.</t>
  </si>
  <si>
    <t>The system must be able to submit and receive information electronically about insurance matches.</t>
  </si>
  <si>
    <t>The system must have the ability to automatically identify cases that meet the State's criteria for submitting for insurance match when the obligor is associated with an active case.</t>
  </si>
  <si>
    <t>The system must have the ability to automatically identify cases that meet the State's criteria for submitting for insurance match when the obligor is not excluded from the insurance match.</t>
  </si>
  <si>
    <t>The system must have the ability to automatically identify cases that meet the State's criteria for submitting for insurance match when the obligor has an arrearage of at least $25.</t>
  </si>
  <si>
    <t>The system must automatically submit the information as required for electronic transmission of the Federal tax refund offset file to OCSE, per IRS requirements.</t>
  </si>
  <si>
    <t>The system must automatically generate documents/ notices required to impose a lien on insurance sources and notify appropriate entities and staff members.</t>
  </si>
  <si>
    <t>The system must automatically generate required notices to the NCP of pending insurance lien.</t>
  </si>
  <si>
    <t>The system must automatically record in the case file key events associated with the insurance match.</t>
  </si>
  <si>
    <t>The system must have the ability to process a lottery/gaming winners file, detect matches with delinquent obligors, and initiate the lottery/gaming intercept enforcement remedy by producing the necessary documents needed to withhold child support from the winnings.</t>
  </si>
  <si>
    <t>The system should have the ability to intercept and process sports betting winnings.</t>
  </si>
  <si>
    <t>The system must have the ability to process personal injury liens with the ability to generate the correct lien documents/notifications based on business rules.</t>
  </si>
  <si>
    <t>The system must automatically monitor enforcement actions related to personal injury liens.</t>
  </si>
  <si>
    <t>The system must automatically generate the required documentation and notify the caseworker to remove the personal injury lien when the past-due support is received.</t>
  </si>
  <si>
    <t>The system must have the ability to process bankruptcy liens with the ability to generate the correct lien documents/notifications based on business rules.</t>
  </si>
  <si>
    <t>The system must automatically monitor enforcement actions related to bankruptcy liens.</t>
  </si>
  <si>
    <t>The system must automatically generate the required documentation and notify the caseworker to remove the bankruptcy lien when the past-due support is received.</t>
  </si>
  <si>
    <t>The system must produce enforcement-related reports, as identified the MDHS.</t>
  </si>
  <si>
    <t>The system must have the ability to monitor and support the enforcement of final illness provisions and allow for billing of any final/end of life medical expenses and recoveries by medical providers.</t>
  </si>
  <si>
    <t>The system must identify cases in which the NCP is in active bankruptcy proceedings and exclude certain automated enforcement actions as needed.</t>
  </si>
  <si>
    <t>The system must provide the ability for financial/payment processing when the system is not available to users in update mode.</t>
  </si>
  <si>
    <t>SNAP,DSNAP,TANF,CSE,CCPP</t>
  </si>
  <si>
    <t>The system must process and distribute collections based on federal and state allocation policy.</t>
  </si>
  <si>
    <t>The system must automatically bill cases with obligations, with the exception of those cases with income withholding in force.</t>
  </si>
  <si>
    <t>The system must automatically generate billing notices to NCPs, including a statement of account containing the correct amount of current and past due support.</t>
  </si>
  <si>
    <t>The system must have the ability to create bills and coupons on demand.</t>
  </si>
  <si>
    <t>SNAP,DSNAP,TANF,TANF,CSE</t>
  </si>
  <si>
    <t>The system must have the ability to submit bills electronically and to suppress, based on business requirements, billing and notifications.</t>
  </si>
  <si>
    <t>The system must support varied payment/collection cycles (e.g., weekly, monthly, etc.).</t>
  </si>
  <si>
    <t>SNAP,DSNAP,TANF,TANF,CSE,CCPP</t>
  </si>
  <si>
    <t>The system must provide for supervisory-authorized review either prior to or following billing suppression or adjustments and must notify the worker of decision not to suppress or adjust billing, or determination that billing suppression or adjustment was inappropriate.</t>
  </si>
  <si>
    <t>The system must provide for payment identification (e.g., return stubs or coupons supporting various payment frequencies).</t>
  </si>
  <si>
    <t>SNAP,DSNAP,TANF,CSE</t>
  </si>
  <si>
    <t>The system must automatically process all payments received. The system must accept and uniquely identify all payments.</t>
  </si>
  <si>
    <t>The system must have the ability to accept electronic payment (e.g. credit or debit cards, and other types of electronic payments), along with the ability to accept payments through secure web portals.</t>
  </si>
  <si>
    <t>The system must have the ability to accept and process cryptocurrency for payment of child support obligations.</t>
  </si>
  <si>
    <t>The system must provide for processing of employment withholding, allocating the intercept toward current support obligations based on State and federal allocation policy.</t>
  </si>
  <si>
    <t>The system must provide financial controls for posting and balancing all payment transactions.</t>
  </si>
  <si>
    <t>The system must require that all reconciliation actions are taken within the system.</t>
  </si>
  <si>
    <t>The system must provide for bank account reconciliation of deposits and system collections posted.</t>
  </si>
  <si>
    <t>The system must provide for deposit controls, the management of insufficient funds returns, make-whole accounts when funds are disbursed to the incorrect payee, and the transfer of collections to the disbursement account.</t>
  </si>
  <si>
    <t>The system must support a daily banking Interface that contains processed and non-sufficient funds (NSF) and retained funds, and all other necessary data in accordance with MDHS business rules accounting practices.</t>
  </si>
  <si>
    <t>The system must provide support to process NSF checks to include reconciliation and notification within the system.</t>
  </si>
  <si>
    <t>The system must provide the ability and associated processing to void checks and receipts and capture reasons, recognize receipts, and process according to rules.</t>
  </si>
  <si>
    <t>The system must have the ability to alert multiple workers about a single financial transaction requiring action based on Federal and/or State business rules.</t>
  </si>
  <si>
    <t>The system must manage current and retroactive adjustments and automatically calculate correct account balances post adjustment.</t>
  </si>
  <si>
    <t>The system must generate documents required to support the deposit of payments/collections to financial institutions in accordance with written procedures.</t>
  </si>
  <si>
    <t>The system must identify and mark voided receipts in a way that ensures that payments are not erroneously reissued.</t>
  </si>
  <si>
    <t>The system must support business rules associates with the finance department for reporting, documentation, and notification.</t>
  </si>
  <si>
    <t>The system must perform adjustments, with supervisory approval, either prior to or following the adjustment, previously processed payments, and notify the worker of decision regarding the requested adjustment, or determination that the adjustment was inappropriate.</t>
  </si>
  <si>
    <t>The system must recognize all receipts attached to a single check and process according to the Federal and/or State business rules.</t>
  </si>
  <si>
    <t>The system must accept and process unidentified and/or suspended payments in accordance with Federal and/or State business rules and support the identification of such payments.</t>
  </si>
  <si>
    <t>The system must maintain a payment history containing information per program group on each payment. Fields may include but are not limited to the following: payee, transaction number, adjustment type, reference number, batch number, user, pay-code, source, method, check number, collection date, EFT date transmitted to bank, payment allocation detail, amount of the payment, method of payment, and date of disbursement.</t>
  </si>
  <si>
    <t>The system must automatically record the receipt of payments on fees including interest or late payment penalties and fees and the recovery of costs in the automated case record and in the State's accounting subsystem, whether or not the State practices cost recovery or imposes fees.</t>
  </si>
  <si>
    <t>The system must, when fees are waived and paid by the State, make a notation in the automated case record reflecting the payment of the fee by the State.</t>
  </si>
  <si>
    <t>The system must record and track collections associated with a posted bond.</t>
  </si>
  <si>
    <t>The system must separately record and maintain charges and payments associated with the payment of fees for FPLS.</t>
  </si>
  <si>
    <t>The system must separately record charges and payments associated with the payment of fees for the costs of genetic tests. A notation in the financial portion of the automated case record must indicate that a judgment has been obtained. Once the judgment is paid in full, another notation must indicate that payment has been made.</t>
  </si>
  <si>
    <t>The system must, within a configurable number of business days after receipt from employer or other source of periodic income, in other than current IV-A and IV-E cases, distribute and disburse all payments if sufficient information identifying the payee is provided.</t>
  </si>
  <si>
    <t>The system must record and maintain charges associated with interest or late payment penalties and fees.</t>
  </si>
  <si>
    <t>The system must automatically impose a configurable fee for never assistance cases where the collection exceeds a configurable amount in a year. The fee may be imposed against the custodial parent, the NCP, or the State may pay the fee.</t>
  </si>
  <si>
    <t>The system must automatically record the payment in the case record and in the State's accounting subsystem.</t>
  </si>
  <si>
    <t>The system must support the acceptance and disbursement of payments using Electronic Funds Transfer/Electronic Data Interchange (EFT/EDI).</t>
  </si>
  <si>
    <t>The system must process EFT/EDI transactions received from employers who choose to submit income withholdings electronically.</t>
  </si>
  <si>
    <t>The system must process EFT/EDI transactions received from other States.</t>
  </si>
  <si>
    <t>The system must transmit Intergovernmental collections to other States using EFT/EDI technology.</t>
  </si>
  <si>
    <t>The system must ensure EFT/EDI procedures and formats must conform to the requirements defined by the National Automated Clearinghouse Association (NACHA) and the ASC X12 Financial Committee accept income withholdings and Intergovernmental child support collections transmitted in both the CCD+ and MSX 820 in NACHA payment formats.</t>
  </si>
  <si>
    <t>The system must ensure EFT/EDI procedures and formats must conform to the requirements defined by NACHA and the ASC X12 Financial Committee to process income withholdings and Intergovernmental child support collections and corresponding remittance data transmitted using the NACHA-endorsed EFT and ASC X12 Financial Committee endorsed EDI standard format for child support collections (the Child Support Application Banking Convention).</t>
  </si>
  <si>
    <t>The system must ensure EFT/EDI procedures and formats must conform to the requirements defined by the National Automated Clearinghouse Association (NACHA) and the ASC X12 Financial Committee to transmit Intergovernmental child support collections to other States in the CCD+ NACHA payment format, and the CTX 820 NACHA payment format.</t>
  </si>
  <si>
    <t>The system must transmit Intergovernmental child support collections and corresponding remittance data using the NACHA-endorsed EFT and ASC X12 Financial Committee-endorsed EDI standard format for child support collections (the Child Support Application Banking Convention).</t>
  </si>
  <si>
    <t>The system must accept and transmit the Intergovernmental collection application indicators per designated NACHA standards.</t>
  </si>
  <si>
    <t>The system must accept and transmit, in CCD+ transactions, cost recovery and FIDM Intergovernmental collection application indicators per designated NACHA standards.</t>
  </si>
  <si>
    <t>The system must accept the collection application indicators per designated NACHA standards.</t>
  </si>
  <si>
    <t>The system's accounting process must be uniform Statewide, accept and maintain all financial information, and perform all calculations relevant to the IV-D program.</t>
  </si>
  <si>
    <t>The system must maintain an audit trail for all financial transactions.</t>
  </si>
  <si>
    <t>The system must, when appropriate, calculate federal and state collection shares.</t>
  </si>
  <si>
    <t>The system, or an auxiliary financial system, must provide documentation needed to obtain and verify the State's claims for Federal financial participation (FFP) and to facilitate the payment, receipt, and distribution of incentive payments.</t>
  </si>
  <si>
    <t>The system must maintain data on paternity establishment, support order establishment, current collections, arrears collections, and cost effectiveness necessary to measure performance based on the five performance areas in the child support incentive system.</t>
  </si>
  <si>
    <t>The system must maintain information on the receipt of incentive payments.</t>
  </si>
  <si>
    <t>The system must maintain data on the efficiency and effectiveness of political subdivisions' operations</t>
  </si>
  <si>
    <t>The system must perform calculations needed to determine Title IV-D's share of administrative costs.</t>
  </si>
  <si>
    <t>The system must perform incentive calculations using the State's methodology for passing through incentives to political subdivisions.</t>
  </si>
  <si>
    <t>The system must distribute and maintaining information on incentive payments paid to political subdivisions.</t>
  </si>
  <si>
    <t>The system must capture all the paternity testing data regarding who (e.g. state, court order for NCP, NCP voluntarily) paid for the testing, as well as all genetic testing statuses associated with costs and payments.</t>
  </si>
  <si>
    <t>The system must calculate and maintain arrearage information.</t>
  </si>
  <si>
    <t>The system must calculate and maintain information on unreimbursed public assistance.</t>
  </si>
  <si>
    <t>The system must calculate or record fees in the case record. Examples include, but are not limited to: genetic testing, court costs, applications, locate work, non-IV-A Federal and State tax refund intercept, income withholding, FPLS, non-IV-A locate only, IRS full collections, and other fees.</t>
  </si>
  <si>
    <t>If the State chooses to recover costs, the system must support cost recovery.</t>
  </si>
  <si>
    <t>The system must support cost recovery by calculating the amount of costs to be recovered based on the amount of actual costs or the State's standard costs.</t>
  </si>
  <si>
    <t>The system must support cost recovery by producing notices to the affected individual unless the necessary information is provided in some other way (i.e., as part of the application for IV-D services, or information provided to IV-A recipients regarding IV-D services).</t>
  </si>
  <si>
    <t>The system must support cost recovery by receiving, identifying, and totaling recovered costs.</t>
  </si>
  <si>
    <t>The system must distribute and disburse support collections in accordance with 45 CFR 302.32, 302.51, 302.52, AT-97-13, AT-97-17, AT-98-24, AT-07-05, AT-08-09, AT-17-07, and any other relevant regulations and instructions issued by OCSE.</t>
  </si>
  <si>
    <t>If costs/fees are imposed on the NCP, the system must ensure that the monthly support obligation and any arrearage is satisfied prior to retaining the cost/fee. If costs/fees are being imposed on the custodial parent, the system must deduct the costs/fees from support collected on behalf of the family. In either case, the system must credit the NCP's account for the full amount of the support collection. In an Intergovernmental case, both the initiating and responding State must meet this requirement.</t>
  </si>
  <si>
    <t>The system must include accounts when a fee is ordered, the type and amount of the fee, the ordered recoupment amount, and who is responsible for payment (e.g. NCP, CP, or state) in the case record.</t>
  </si>
  <si>
    <t>The system must record, each time distribution and disbursement takes place, the amount, date of distribution, date of disbursement, and the recipient (family, IV-E agency, IV-A agency, Title XIX agency, taxpayer whose refund was offset, another State).</t>
  </si>
  <si>
    <t>For intergovernmental cases, the system must provide disbursement to the initiating State within a configurable number of days of receipt. The system must be capable of handling such disbursement using electronic funds transfer/electronic data interchange (EFT/EDI). The system must record such transfers in or linked to the automated client record. (Data to the initiating State must include: identifying case numbers, payment amount, date of collection or receipt, NCP's name and Social Security Number, medical support indicator, and the responding State's FIPS code or Worldwide Geographic Location Code).</t>
  </si>
  <si>
    <t>The system must automatically recompute the distribution of all collections, when payments are made in the month when due but are received in a later month by the State Disbursement Unit (SDU), or when information is received on unidentified payments in a later month. If, however, the State has a SDU which meets all Federal requirements for both IV-D and non-IV-D cases, the State may use the date of receipt as the date of collection for collections made through income withholding. If the State uses the date of receipt for all collections, the system is only required to recompute distribution with respect to unidentified payments when identifying information is received in a later month.</t>
  </si>
  <si>
    <t>The system must generate notices to IV-A and former IV-A recipients (continuing to receive IV-D services) about the amount of support collections and must notify the IV-A agency about collections for IV-A recipients.</t>
  </si>
  <si>
    <t>The system must, when a collection is received, automatically produce a monthly notice of assigned support collections for IV-A and former IV-A custodial parents who continue to receive IV-D services and have outstanding arrearages that have been assigned to the State. The system must ensure the monthly notice must separately list payments collected from each NCP, if appropriate, and must indicate the amount of current support, the amount of arrearage collected, and the amount of support collected which was disbursed to the family.</t>
  </si>
  <si>
    <t>The system must provide the IV-A agency and any other necessary parties (i.e. SSA and Medicaid) information on the amount of monthly support collections received for each IV-A case. The information must include the amount, case number, and date of receipt/collection for each payment.</t>
  </si>
  <si>
    <t>The system must support the MDHS-specific financial requirements.</t>
  </si>
  <si>
    <t>The system must support a daily reconciliation process to ensure that all funds received into the system for the day have been handled in some manner.</t>
  </si>
  <si>
    <t>The system must provide a mechanism for searching, sorting, and categorizing unidentified collections.</t>
  </si>
  <si>
    <t>The system must provide for prorating obligation amounts when circumstances require a partial period amount.</t>
  </si>
  <si>
    <t>The system must provide for entering future obligation changes as provided for by the court order allowances for custody changes, seasonal or other known employment changes, and other-directed changes as specified by the court order. The system must monitor the future obligations daily and update the current obligation at the designated date.</t>
  </si>
  <si>
    <t>The system must provide for table for debt types with distribution priority data clearly established for use in collection processing.</t>
  </si>
  <si>
    <t>The system should have the ability to charge interest and maintain separate interest balance data.</t>
  </si>
  <si>
    <t>The system must provide for the generation of on-demand obligation history statements for each case for obligations and obligation modifications within a given date range.</t>
  </si>
  <si>
    <t>The system must have the ability to generate and print on-demand concise account statements for each case for charges, payments, and balances, within a given date range.</t>
  </si>
  <si>
    <t>The system must have the ability to generate and print on-demand custodial parent statements of unreimbursed public assistance, recovery distributions, and disbursements within a given date range.</t>
  </si>
  <si>
    <t>The system must accept and process Title XIX assistance information for purposes of maintaining the assigned medical support balances and distributing collections to Title XIX recovery.</t>
  </si>
  <si>
    <t>The system must accept and process child welfare maintenance information for purposes of maintaining the assigned IV-E and non-IV-E support balances and distributing collections to IV-E and non IV-E recovery.</t>
  </si>
  <si>
    <t>The system must transfer billing files to the State Disbursement Unit and to receive collection and reconciliation files from the State Disbursement Unit.</t>
  </si>
  <si>
    <t>The system must provide for bank account reconciliation of deposits and expenditures. The system must provide for disbursement status update for recording cancellation, voided payments, and cashed payments. The system must support stale dating disbursements according to the State standard policy timeframe.</t>
  </si>
  <si>
    <t>The system must provide for the tracking of all held collections, with each held collection to a category and included in the daily financial report and provide alerts based on business rules.</t>
  </si>
  <si>
    <t>The system must maintain a modifiable table of held collections categories.</t>
  </si>
  <si>
    <t>The system must control for prompt disposition of held collections with the necessary fiscal controls to provide a clear audit trail for distribution.</t>
  </si>
  <si>
    <t>The system must have the ability to release individual items from hold and provide for distribution of the released funds.</t>
  </si>
  <si>
    <t>The system must provide for managing account information to support electronic fund transfer to other state agencies and to custodial parents and to support automatic withdrawal for NCPs.</t>
  </si>
  <si>
    <t>The system must support the ability to research and apply rejected EFT transactions.</t>
  </si>
  <si>
    <t>The system must record payment details.  Examples are but not limited to are check/payment/EBT transaction number, payee, transaction amount, funding source (budget line, cost code, account number, category codes), and date paid.</t>
  </si>
  <si>
    <t>The system must have the ability to properly handle all the federal test deck cases.</t>
  </si>
  <si>
    <t>The system must provide for prompt distribution and disbursement of collections as required by Federal and/or State requirements.</t>
  </si>
  <si>
    <t>The system must provide for retroactive distribution when unidentified and misapplied funds are directed to the correct account.</t>
  </si>
  <si>
    <t>The system must provide for prorating the child support when some of the children in a case are receiving public assistance and some are not.</t>
  </si>
  <si>
    <t>The system must maintain TANF and non-TANF arrearages information in the federally required, designated balances.</t>
  </si>
  <si>
    <t>The system must provide the capability of refunding collections.</t>
  </si>
  <si>
    <t>The system must provide for fund transfer of held distributions to the State's abandoned property management according to State law. The system must have this function integrated with the OCSE 34A so that escheated funds are reported as undistributable.</t>
  </si>
  <si>
    <t>The system should provide for quarterly statements to current and former IV-A custodial parents that include an accounting of distribution balances. It should also provide an annual statement to both the CP and NCP of support collected and distributed.</t>
  </si>
  <si>
    <t>The system must, at a minimum, generate reports for the following financial activities: collections, including undistributed collections, escrowed collectibles, adjustments, fees collected, future and arrearage payments, interstate collections, checks and check registers, summary of distribution of child support, summary of receipts by collecting agency, and interest collected.</t>
  </si>
  <si>
    <t>The system must provide the capability to generate payment records and arrears affidavits suitable for use in legal proceedings.</t>
  </si>
  <si>
    <t>The system must maintain an online financial management report totals with daily, monthly, state/federal fiscal year as well as custom date ranges for collection, held collections, refunds, disbursements, cancellations, staled dated disbursements, and escheatment funds.</t>
  </si>
  <si>
    <t>The system must generate reports required to ensure and maintain the accuracy of data and to summarize accounting activities.</t>
  </si>
  <si>
    <t>The system must capture information about overdue fees.</t>
  </si>
  <si>
    <t>The system must limit payments for only eligible children.</t>
  </si>
  <si>
    <t>The system must indicate payments made as a result of misrepresentation in the applicable case records (e.g., client, provider, etc.).</t>
  </si>
  <si>
    <t>The system must indicate payments made as a result of programmatic infractions in the client case and the provider case.</t>
  </si>
  <si>
    <t>The system must process approval for payments to providers by child according to Federal and/or State business rules.</t>
  </si>
  <si>
    <t>The system must validate the approved days against those entered for payment.</t>
  </si>
  <si>
    <t>The system must produce a notification to a provider after a payment has been processed.</t>
  </si>
  <si>
    <t>The system must allow for, authorize and track a partial payment.</t>
  </si>
  <si>
    <t>The system must allow authorized workers to backdate payments according to Federal and/or State business rules.</t>
  </si>
  <si>
    <t>The system must prevent payment to providers flagged as having a substantiated misrepresentation.</t>
  </si>
  <si>
    <t>CSE,CCPP</t>
  </si>
  <si>
    <t>The system must support the repayment procedures for recovery of payments from parents and providers.</t>
  </si>
  <si>
    <t>The system must indicate that the client or provider has a Benefit Repayment Agreement in the client and/or provider case.</t>
  </si>
  <si>
    <t>The system must track repayment payments received.</t>
  </si>
  <si>
    <t>The system must calculate the outstanding repayment balance.</t>
  </si>
  <si>
    <t>The system must have the capability to make payments via direct deposit to bank accounts.</t>
  </si>
  <si>
    <t>The system must have the capability to issue paper checks.</t>
  </si>
  <si>
    <t>The system must allow for the entry of provider contracted rates.</t>
  </si>
  <si>
    <t>The system must allow for payments to be placed on hold.</t>
  </si>
  <si>
    <t>The system must allow for corrected payments, including but not limited to: hold payment until released, provide payment adjustments per child, provide lump sum to providers, return discount amount, and same rate adjustment.</t>
  </si>
  <si>
    <t>The system must provide standardized reporting and analytics including comparison of selected data (system and banking), and maintenance and use of historical financial data within the system for historical and predictive analytical reporting.</t>
  </si>
  <si>
    <t>The system must allow to manually set a payment limit per provider</t>
  </si>
  <si>
    <t>The system must allow for payments to multiple providers for one child according to Federal and/or State business rules.</t>
  </si>
  <si>
    <t>The system must allow third-party intercepts of provider payments, such as garnishments and child support payments.</t>
  </si>
  <si>
    <t>The system must allow workers to generate required 1099 or W-9 reports for providers/vendors.</t>
  </si>
  <si>
    <t>The system must support Pass-Through and Disregard according to agency policy.</t>
  </si>
  <si>
    <t>SNAP,TANF,CSE</t>
  </si>
  <si>
    <t>The system must allow users to only perform functions in the system based on configured RBAC.</t>
  </si>
  <si>
    <t>The system must store an unlimited number of records, including, but not limited to: provider, client, person/household member, and case records.</t>
  </si>
  <si>
    <t>The system must support purging and expungement of records, reports, samples, etc.</t>
  </si>
  <si>
    <t>The system must recognize missing required elements for any action and prompt users for resolution.</t>
  </si>
  <si>
    <t>The system must perform initial edit/validation checks, including numeric and character checks and cross references, to ensure the accuracy and completeness of fields.</t>
  </si>
  <si>
    <t>The system must suggest and auto-complete common and frequently entered values.</t>
  </si>
  <si>
    <t>The system must ensure all tracking and aging/due date/deadline activities are configurable and not hard coded.</t>
  </si>
  <si>
    <t>The system must have the ability to capture workflow tracking and aging alerts on different dashboard views.</t>
  </si>
  <si>
    <t>The system must invoke appropriate workflow and document management capabilities for processes according to business rules.</t>
  </si>
  <si>
    <t>The system must provide a solution that automatically translates documents from English to other languages, and vice versa, as required by Federal and/or State business rules.</t>
  </si>
  <si>
    <t>The system must provide the ability for authorized users to create and modify the format and text of all document templates.</t>
  </si>
  <si>
    <t>The system must have the ability to send notices and correspondences to all parties electronically via a web portal or other electronic means.</t>
  </si>
  <si>
    <t>The system must generate paper notices and correspondences when an electronic method is undeliverable.</t>
  </si>
  <si>
    <t>The system must allow program specific rules that direct how and when new information in the system generates notices and/or correspondence.</t>
  </si>
  <si>
    <t>The system must designate a location for user entry of free-form text that is populated into a notice.</t>
  </si>
  <si>
    <t>The system must designate which data fields (bookmarks) are required and must contain values for each notice template, prior to generation.</t>
  </si>
  <si>
    <t>The system must allow authorized users to create a notice template, using available pre-defined text blocks, which can be configured as either required or optional at runtime.</t>
  </si>
  <si>
    <t>The system must define a variable sized table in document templates that can be populated with repeating data (e.g. income, resources, benefits history).</t>
  </si>
  <si>
    <t>The system must default the notification delivery method for each document type, based on business rules for each program.</t>
  </si>
  <si>
    <t>The system must allow authorized workers to embed or attach pictures, graphics, and images in correspondence templates.</t>
  </si>
  <si>
    <t>SNAP,DSNAP,SNAP E&amp;T,TANF,CSE,CCPP</t>
  </si>
  <si>
    <t>The system must generate forms and notices in English and other languages based on the client's specified language preference.</t>
  </si>
  <si>
    <t>The system must create a cover notice that precedes a user requested form or attachment.</t>
  </si>
  <si>
    <t>The system must create a cover message in the email that includes an attached form or notice.</t>
  </si>
  <si>
    <t>The system must allow a user to search and display notice and correspondence history using keywords, dates, and key identifiers.</t>
  </si>
  <si>
    <t>The system must allow a user to sort and filter notices and correspondence history.</t>
  </si>
  <si>
    <t>The system must allow users to select a document from history to view it, print it, or to resend.</t>
  </si>
  <si>
    <t>The system must capture, based on programmatic business rules, communication preferences (e.g., paper, email, text, fax) by system-defined notification categories (e.g., reminders, information, eligibility decision notices, and RFIs).</t>
  </si>
  <si>
    <t>The system must generate machine-readable 1D, 2D, and 3D barcodes and scannable images on documents for automatic indexing, sorting, stuffing, and scanning.</t>
  </si>
  <si>
    <t>The system must separate paper notices and correspondence print files that are too large to automatically stuff so the correspondence can be manually printed and stuffed.</t>
  </si>
  <si>
    <t>The system must support electronic fax communications.</t>
  </si>
  <si>
    <t>The system must send and receive email correspondence.</t>
  </si>
  <si>
    <t>The system must send an email address confirmation to clients who have chosen to receive notifications by email.</t>
  </si>
  <si>
    <t>The system must inform the user of the size of the email correspondence being attempted and the maximum size limit.</t>
  </si>
  <si>
    <t>The system must recognize that email attachments exceed the specified maximum size allowed and notify the user when a document has been rejected.</t>
  </si>
  <si>
    <t>The system must notify users when an email is undeliverable and automatically revert to paper noticing.</t>
  </si>
  <si>
    <t>The system must send and receive communications via SMS text messages.</t>
  </si>
  <si>
    <t>The system must recognize that SMS text messages exceed the maximum size allowed and notify the user when a message has been rejected.</t>
  </si>
  <si>
    <t>The system must tell a user the size of an SMS text message being attempted and the maximum size limit.</t>
  </si>
  <si>
    <t>The system must send an SMS text message confirmation to phone numbers who have selected to receive notifications by text message.</t>
  </si>
  <si>
    <t>The system must notify users when an SMS text message is undeliverable.</t>
  </si>
  <si>
    <t>The system must render notices for easy viewing on a mobile device.</t>
  </si>
  <si>
    <t>The system must allow authorized workers to suspend or suppress generation of specific documents, communication types (e.g., mail, email, fax, SMS text message), or all communications for a case in compliance with Federal and/or State business rules.</t>
  </si>
  <si>
    <t>The system must allow authorized workers to release individual suspended or suppressed communications or all communications for a case.</t>
  </si>
  <si>
    <t>The system must allow authorized workers to select a group of recipients for creation of mass mailings, as needed, to be sent by the communication channel of choice, whether physical paper, email, or SMS text communications.</t>
  </si>
  <si>
    <t>The system must automatically trigger the creation of communications based on client/worker actions, completion of workflow steps, and Federal and/or State business rules.</t>
  </si>
  <si>
    <t>The system must provide the ability for the user to change the distribution method (paper vs. electronic) for a pick list of previously generated communications and resend via the new method.</t>
  </si>
  <si>
    <t>The system must retain all data and information in accordance with Federal and/or State retention requirements.</t>
  </si>
  <si>
    <t>The system must allow users to select previously generated documents as attachments to a new notice, communication, or correspondence.</t>
  </si>
  <si>
    <t>The system must process inbound and outbound communications using automated phone messaging.</t>
  </si>
  <si>
    <t>The system must process inbound and outbound client communications using web chat (conversational user interface like chatbot)</t>
  </si>
  <si>
    <t>The system must generate alerts based on business rules by program for necessary case and system events. Examples include, but not limited to: data matches, age changes, appeal decision, recertification, action needed on a case.</t>
  </si>
  <si>
    <t>The system must provide a real-time dashboard with graphical representation of system functions/information customizable by program.</t>
  </si>
  <si>
    <t>The system must extract and download all production data at a scheduled frequency to the data warehouse to support reporting, data clean-up, data mining, pattern recognition, and machine learning (including interoperability with machine learning languages/platforms such as Python, AzureML, AWS, Snowflake, etc.).</t>
  </si>
  <si>
    <t>The system must allow frequency reporting such as, but not limited to: daily, weekly, bi-weekly, monthly, semi-monthly, quarterly, semi-annually, annually, state fiscal year, custom date range,, and federal fiscal year.</t>
  </si>
  <si>
    <t>The system must support ad hoc, preconfigured, and periodic standardized reporting functionality.</t>
  </si>
  <si>
    <t>The system must support creation of ad-hoc reports with data from the system.</t>
  </si>
  <si>
    <t>The system must provide results and decision based analytics.</t>
  </si>
  <si>
    <t>The system reporting tool must display report data online, with columns that a user can sort and filter.</t>
  </si>
  <si>
    <t>The system must export detail and summary data in the system and generated reports to formats including, but not limited to: .csv, .pdf, .doc, .txt, or .xlsx formatted file.</t>
  </si>
  <si>
    <t>The system must require a guest and client login on the landing page of the client portal.</t>
  </si>
  <si>
    <t>The system must allow clients and providers to access a client dashboard within the client portal and provide targeted, summary information.</t>
  </si>
  <si>
    <t>The system must allow clients and providers to securely manage their accounts. Examples include, but not limited to: view/edit account information, change password, change security question, and lock/unlock account.</t>
  </si>
  <si>
    <t>The system must allow clients to start a new application for benefits or services through their account using the client web portal.</t>
  </si>
  <si>
    <t>The system must allow clients to finish and submit a new application for benefits and submit payment (when applicable) through their account using the client web portal.</t>
  </si>
  <si>
    <t>The system must allow clients to request an extension of an RFI due date through their account using the client web portal.</t>
  </si>
  <si>
    <t>The system must allow clients to withdraw a submitted application through their account using the client web portal within a period of time configurable via the business rules engine.</t>
  </si>
  <si>
    <t>The system must allow clients to start a change report for changes to an existing submitted application through their account using the client web portal.</t>
  </si>
  <si>
    <t>The system must allow clients to finish and submit a change report for changes to an existing submitted application through their account using the client web portal.</t>
  </si>
  <si>
    <t>The system must allow clients to start a renewal application through their account using the client web portal.</t>
  </si>
  <si>
    <t>The system must allow clients to finish and submit a renewal application through their account using the client web portal.</t>
  </si>
  <si>
    <t>The system must allow clients to view notices through their account using the client web portal.</t>
  </si>
  <si>
    <t>The system must allow clients to submit documentation through their account using the client web portal.</t>
  </si>
  <si>
    <t>The system must allow clients to report a change of circumstance (e.g., income change, change in household size, etc.) through their account using the client web portal.</t>
  </si>
  <si>
    <t>The system must allow clients to print applications, notices, and other documents provided by the MDHS, based on Federal and/or State business rules, through their account using the client web portal.</t>
  </si>
  <si>
    <t>The system must have a dashboard that displays client information. Examples include, but not limited to: current program/application status, historical program information, unread notifications, authorized representatives, interview status/appointments, etc.</t>
  </si>
  <si>
    <t>The system must provide links to training materials and policy documents within the system, as needed.</t>
  </si>
  <si>
    <t>The system must require that clients affirm agreement with the User Agreement Terms and Conditions before proceeding with account creation steps.</t>
  </si>
  <si>
    <t>The system must conclude the account creation process with an account summary page that displays information entered for the account and requests client confirmation.</t>
  </si>
  <si>
    <t>The system must provide information to clients about local office locations and other organizations offering assistance and/or services.</t>
  </si>
  <si>
    <t>The system must integrate with mapping software that provides driving and walking directions to nearby MDHS and community partner offices.</t>
  </si>
  <si>
    <t>The system must allow clients to search for applications, completed by them, using application IDs, and/or case IDs, or clients identifiers and demographic information.</t>
  </si>
  <si>
    <t>The system must allow clients to search for helpful information and frequently asked questions.</t>
  </si>
  <si>
    <t>The system must provide online help to clients linked by specific eligibility factors within the application.</t>
  </si>
  <si>
    <t>The system must allow an authorized designated third-party representative (e.g., community partner, community assistors, etc.) to have the same capabilities as clients for performing all functionality via the web portal, except when specifically excluded.</t>
  </si>
  <si>
    <t>The system must maintain a history of notice generation.</t>
  </si>
  <si>
    <t>The system must allow notices to be customized, based on Federal and/or State business rules, where users can add comments as necessary.</t>
  </si>
  <si>
    <t>The system must display the most up-to-date non-discrimination statement on notices as needed.</t>
  </si>
  <si>
    <t>The system must generate notices in compliance with all Federal and/or State requirements.</t>
  </si>
  <si>
    <t>The system must allow authorized users to perform actions related to notices. Examples include, but not limited to: activate, create, delete, edit, establish rules, format, inactivate, and set delivery type.</t>
  </si>
  <si>
    <t>The system must auto-generate notices according to Federal and/or State business rules.</t>
  </si>
  <si>
    <t>The system must send notices based on program time limits according to Federal and/or State business rules.</t>
  </si>
  <si>
    <t>The system must include voter registration language on all notices, except specialty notices that do not require it.</t>
  </si>
  <si>
    <t>The system must include appeals rights language in notifications where necessary to clients for case circumstances that an appeal is relevant.</t>
  </si>
  <si>
    <t>The system must automatically release a suspended notice for regeneration once the error reason for suspension has been fixed.</t>
  </si>
  <si>
    <t>DSNAP,CSE,CCPP</t>
  </si>
  <si>
    <t>The system must record the date and time a notice is sent.</t>
  </si>
  <si>
    <t>The system must comply with assistive technology accommodation requests.</t>
  </si>
  <si>
    <t>The system must generate various reports with customized queries.</t>
  </si>
  <si>
    <t>The system must provide online access to the current system user guides.</t>
  </si>
  <si>
    <t>The system must provide a link from worker application components to the relevant section of the current State policy manual.</t>
  </si>
  <si>
    <t>The system must provide online access to previous versions of the State policy manual.</t>
  </si>
  <si>
    <t>The system must capture electronic signatures for clients, workers, authorized agents, Community Assistors, providers, and other system users.</t>
  </si>
  <si>
    <t>The system must automatically check, highlight, and offer clients corrections for spelling and grammar errors as text fields are updated.</t>
  </si>
  <si>
    <t>The system must have a "Your Next Step" section which clearly describes all future client actions and associated deadlines.</t>
  </si>
  <si>
    <t>The system must provide workers the ability to link and display files in the Document Repository from case notes, verifications, and other system locations that correspond with data displayed within the system.</t>
  </si>
  <si>
    <t>The system must be developed using responsive web design techniques to ensure the client portal will work on all standard mobile devices.</t>
  </si>
  <si>
    <t>The system must provide online documentation and training materials such as context specific and field-level help  and searching.</t>
  </si>
  <si>
    <t>The system must identify cases involving family violence</t>
  </si>
  <si>
    <t/>
  </si>
  <si>
    <t>The system's Graphical User Interface must be mobile web responsive, user-friendly, uncluttered, and allow for fast and efficient data entry within pages and workflows, without excessive reliance on menus and screens.</t>
  </si>
  <si>
    <t>The system must provide a user interface that is consistent throughout all pages, screens, and portals.</t>
  </si>
  <si>
    <t>The system's user interface must allow for navigation with and without a mouse (e.g., keyboard only).</t>
  </si>
  <si>
    <t>The system must provide an intuitive user interface for clients/providers (who will log in infrequently) and the MDHS workers (for users who will use this daily), with screens design to automatically align with the specified user type.</t>
  </si>
  <si>
    <t>The system's user interface must allow users to perform their tasks efficiently, with minimal scrolling and minimal keystrokes (e.g., app options for ease of use, such as hiding menus, utilizing wizards, function keys, and pagination).</t>
  </si>
  <si>
    <t>The system must provide drop-down, list boxes and radio buttons for all key entry; text entry will display existing values for selection (system based auto fill), but specifically disallow client browser-based auto fill.</t>
  </si>
  <si>
    <t>Wherever possible, the system must prioritize the use of drop-down fields to populate data over text fields, to facilitate data entry, plan completion, and reporting.</t>
  </si>
  <si>
    <t>The system must accommodate point and click selection and check box entry for all relevant data entries to ensure that the user does not have to enter textual data that may already be available to the system.</t>
  </si>
  <si>
    <t>The system's user interface will allow for rapid, real-time data entry.</t>
  </si>
  <si>
    <t>The system must allow a user to change screens (backwards or forwards) without losing entered data.</t>
  </si>
  <si>
    <t>The system must simplify the tasks required for users to independently complete intended actions (e.g., to apply for services) by providing an intuitive user interface with detailed instructions and additional help information.</t>
  </si>
  <si>
    <t>The system must provide multi-user access to all modules/functions within the system.</t>
  </si>
  <si>
    <t>The system must allow multi-user access to the same record simultaneously with record locking during updates to prevent corruption of data.</t>
  </si>
  <si>
    <t>The system must allow all disparate modules within the system to automatically interface in real-time to eliminate duplicate data entry and data redundancy.</t>
  </si>
  <si>
    <t>The system must, within modules, eliminate redundant data entry, ensuring that data collected on one screen is visible in other screens, where applicable.</t>
  </si>
  <si>
    <t>The system must have safeguards in place to prevent duplicate records, including clients and cases.</t>
  </si>
  <si>
    <t>The system must use data labels, phrases, and concepts familiar to the user, rather than system-oriented terms.</t>
  </si>
  <si>
    <t>The system must express error and validation messages in plain language to precisely indicate the problem and suggest a solution.</t>
  </si>
  <si>
    <t>The system must provide the ability to manage data history, such as client address, staff assigned, etc., with all values that change over time kept for future online viewing as well as data analysis.</t>
  </si>
  <si>
    <t>The system must make required and protected/locked fields easily identifiable to end users.</t>
  </si>
  <si>
    <t>The system must allow users to adjust onscreen font size.</t>
  </si>
  <si>
    <t>The system must allow copy of protected and unprotected data fields and paste into unprotected data fields.</t>
  </si>
  <si>
    <t>The system must allow copy of pasting of text fields to and from third-party systems, web pages, and documents, including using keyboard shortcuts (CTRL+C, CTRL+V).</t>
  </si>
  <si>
    <t>The system must support standard "Undo" and "Redo" functionality (CTRL+Z, CTRL+Y).</t>
  </si>
  <si>
    <t>The system must prompt the user to confirm prior to making a change that is permanent and which cannot be "undone".</t>
  </si>
  <si>
    <t>The system must support formatted printing of selected client data screens.</t>
  </si>
  <si>
    <t>The system must capture point in time screenshots from interface screens and automatically download to the document management system.</t>
  </si>
  <si>
    <t>The system must provide configurable, industry standard communication protocols for alerts and notifications by user, including email, fax, SMS text, and in-application messaging.</t>
  </si>
  <si>
    <t>The system must notify users that they have received a secure email or notification through visual cues or alerts within the system, as well as through an email alert sent to an external email address provided by the user.</t>
  </si>
  <si>
    <t>The system must support the manual upload of file attachments of various file types. Examples include, but not limited to: PDF, DOC, DOCX, XLS, XLSX, TXT, RTF, JPG, PNG, WAV, comma and tab-delimited, and other media types.</t>
  </si>
  <si>
    <t>The system must have the capabilities to upload images from a variety of media including, but not limited to, CDs, flash drives and scanners.</t>
  </si>
  <si>
    <t>Specific system pages, identified by MDHS, must provide information in an offline mode on mobile devices, with synchronization functionality allowed when a connection is re-established.</t>
  </si>
  <si>
    <t>The system must capture client applications in an offline mode in the event of an application issue.</t>
  </si>
  <si>
    <t>The system must track all activity associated with a case and time-stamp the receipt of all submissions including, but not limited to, the receipt of: applications, program specific documents, re-determination applications and additional documents, change submissions, other submissions as defined by the MDHS, calls and services related to the case, and additional documentation.</t>
  </si>
  <si>
    <t>The system must provide a mechanism to change the status for multiple clients at once.</t>
  </si>
  <si>
    <t>The system must support third-party user read-only access to appropriate data within the system.</t>
  </si>
  <si>
    <t>The system must support the use of electronic signatures and integrate with existing MDHS/State third-party electronic signature tools (e.g., DocuSign).</t>
  </si>
  <si>
    <t>The system must support the use of electronic signatures and integrate electronic signature pads</t>
  </si>
  <si>
    <t>The system must associate electronic signatures with various data elements, including forms and electronic correspondence</t>
  </si>
  <si>
    <t>The system must track the date/time of electronic signatures.</t>
  </si>
  <si>
    <t>The system must track the signer(s) of electronic signatures.</t>
  </si>
  <si>
    <t>The system must allow users to search for a client's record.</t>
  </si>
  <si>
    <t>The system must be able to use Soundex and wildcard functions to search names of case members and the associated cases and retrieve case data.</t>
  </si>
  <si>
    <t>The system must support communicating with clients (one at-a-time, or in bulk) through a variety of methods including, but not limited to: paper communications, email, secure email, text, client portal, phone, and secure fax.</t>
  </si>
  <si>
    <t>The system must allow fields that are pre-populated to be edited and updated by authorized workers.</t>
  </si>
  <si>
    <t>The system must support one client account (demographics) for all programs (e.g., the client account is shared between all MDHS programs).</t>
  </si>
  <si>
    <t>The system must allow users to create a new client record if a client cannot be uniquely identified across all MDHS programs.</t>
  </si>
  <si>
    <t>The system must provide users capabilities to proactively identify potential duplicate client records within the system.</t>
  </si>
  <si>
    <t>The system must identify duplicate clients when a user tries to enter a new client that the system recognizes as a duplicate based on preset rules. The system should then allow workers(based on RBAC) to either select from the identified duplicate records to edit (merge) or create a new client.</t>
  </si>
  <si>
    <t>The system must capture the client's preferred method of contact and will be able to capture multiple mailing and physical addresses for each person, including a primary mailing and physical address.</t>
  </si>
  <si>
    <t>The system must support mass communication via email and client portal messages to clients and provide the worker with an easy way to select clients to send to.</t>
  </si>
  <si>
    <t>The system must uniquely identify each program, client, provider, and authorized representative.</t>
  </si>
  <si>
    <t>The system must provide the ability to capture an individual's language preference, per the MDHS guidelines.</t>
  </si>
  <si>
    <t>The system must support users requesting translation services (on-line or via phone) and track and report on all requests despite whether they are currently enrolled or not.</t>
  </si>
  <si>
    <t>The system must allow the user to view an English version of any translated client notice and document produced by the system.</t>
  </si>
  <si>
    <t>The system must be designed to minimize the effort required to add support for additional languages not currently provided.</t>
  </si>
  <si>
    <t>The system must allow the inclusion of hyperlink references within the content of the alert or notification as required, that will allow the user to quickly pull up the screen without having to navigate the system to find it.</t>
  </si>
  <si>
    <t>The system must enable users to produce printable versions of critical electronic records, including but not limited to: notifications, forms, and claims.</t>
  </si>
  <si>
    <t>The system must enable users to produce printable versions of all client notices.</t>
  </si>
  <si>
    <t>The system must provide the ability to send custom rule-based alerts to providers/workers via secure email or provider portal task lists.</t>
  </si>
  <si>
    <t>The system and portal will provide context sensitive help based on the current area of the application (e.g.., a tooltip, pop up text when the user positions the mouse over a specific field) through the user interface. This will provide access to user guides, policies/procedures, etc. Links may redirect (via a new browser window/tab) to a user maintainable SharePoint (wiki) site and to recorded and interactive training.</t>
  </si>
  <si>
    <t>The system must provide online documentation that is accessible at all times including, but not limited to: online policies and procedures, user guides, and system help.</t>
  </si>
  <si>
    <t>The system must provide AI chatbot help for clients, and integrate with existing chatbots.</t>
  </si>
  <si>
    <t>The system must support modification of the policy manual link list by the policy department with no programming intervention.   </t>
  </si>
  <si>
    <t>The system must minimize the need for users to memorize by making options visible.</t>
  </si>
  <si>
    <t>The system must provide the option to have mouse hover / tooltip help or context messages, and provide the option to turn off this option in the user preferences profile.</t>
  </si>
  <si>
    <t>The system must provide all user instructions in a visible or easily retrievable location, when appropriate.</t>
  </si>
  <si>
    <t>The system must conform to user interface standards for all screens, windows, and reports. Examples include, but not limited to: all headings and footers standardized, current date and local time displayed, all references to dates displayed are consistent throughout the system, all data labels and definitions are consistent throughout the system and clearly defined in user manuals and data element dictionaries, all generated messages should be clear and sufficiently descriptive to provide enough information for problem corrections and be written in full text, specify user (name) with associated data input, all dropdown lists displayed consistently throughout the system, and all search results displayed consistently throughout the system (e.g., name formats standardized).</t>
  </si>
  <si>
    <t>The system must allow a role-based UI view that will determine both the page and field layout and sequence, optimized by RBAC (app options for ease of use, such as hiding menus/changing navigation).</t>
  </si>
  <si>
    <t>The system must support auto pre-fill of data entry screens with data already captured as appropriate.</t>
  </si>
  <si>
    <t>Wherever possible, The system must utilize a clone/duplicate/copy feature allowing the worker to create records pre-filled with content from the selected record to reduce data entry steps. (e.g., create new application based on prior application).</t>
  </si>
  <si>
    <t>Users will be able to use key strokes to open a link in a separate browser tab.</t>
  </si>
  <si>
    <t>The system must allow for multiple cases/clients viewed at once</t>
  </si>
  <si>
    <t>The system must speak the users' language, with words, phrases and concepts familiar to the user, rather than system-oriented terms. The system must limit the use of words, situations, or actions that have multiple meanings.</t>
  </si>
  <si>
    <t>The system must provide menus that are understandable by non-technical users and provide secure access to all functional areas.</t>
  </si>
  <si>
    <t>The system must accommodate diverse populations of users including those with disabilities and limited English proficiency as defined in Section 504 of the Rehabilitation Act of 1973.</t>
  </si>
  <si>
    <t>The system must allow the users to navigate to a variety of functions available to them without having to move sequentially through excessive menus and screens.</t>
  </si>
  <si>
    <t>The system must include drill down and look up functionality to minimize time required for access to more detailed information.</t>
  </si>
  <si>
    <t>The system must include multi-tasking and multiple window capability.</t>
  </si>
  <si>
    <t>The system must include search capabilities to allow retrieval by name, DOB, member ID, case number or others as defined by the MDHS.</t>
  </si>
  <si>
    <t>The system must include the ability to tab and mouse through data fields and screens and to change tab order.</t>
  </si>
  <si>
    <t>The system must be able to produce a list of utilized error messages, available to the technical team to help improve consistency when building similar error messages.</t>
  </si>
  <si>
    <t>The system must use colors to enhance user experience and system usability while complying with all disability requirements notated elsewhere in these requirements.</t>
  </si>
  <si>
    <t>The system must alert the user with information relevant to required next steps.</t>
  </si>
  <si>
    <t>The system must provide the ability to make fields visible/invisible/mandatory depending on user rights or access controls.</t>
  </si>
  <si>
    <t>The system must be designed to include only the necessary information and functionality on screens based on the user's access level.</t>
  </si>
  <si>
    <t>The system must provide screens/templates for data entry with clearly identified mandatory and optional data fields.</t>
  </si>
  <si>
    <t>The system must allow incomplete data sets to be saved for completion at a later time.</t>
  </si>
  <si>
    <t>The system, client portal, and provider portal will implement a mechanism to inform users of system downtime or other broadcast messages, including showing messages as a persistent banner, visible as the user utilizes the system. Message may be system-wide or targeted to specific groups. The system and portal will implement simple administrative mechanisms to prevent user access during scheduled maintenance.</t>
  </si>
  <si>
    <t>The system must provide users the ability to review, edit, and delete any entered data, as well as pre-populated data, and exit at any time prior to submitting the change.</t>
  </si>
  <si>
    <t>The system must include a task management subsystem that allows users and workflows to create and assign tasks to users and teams in the system including providers.</t>
  </si>
  <si>
    <t>The system must provide the ability to escalate tasks when a due date has passed without action.</t>
  </si>
  <si>
    <t>The system must provide the ability to assign/track/escalate tasks for workers and providers.</t>
  </si>
  <si>
    <t>The system must provide the ability to assign tasks to teams.</t>
  </si>
  <si>
    <t>The system must support task checklists that can only be marked as complete when all requirements are met on the task record.</t>
  </si>
  <si>
    <t>The system must support configurable escalation of tasks based on task due dates. Escalation options should include routing tasks to supervisor, email to task owner or their supervisor.</t>
  </si>
  <si>
    <t>The system must be able to retrieve a deleted record within a specified period of time.</t>
  </si>
  <si>
    <t>The system must support a relational database model.</t>
  </si>
  <si>
    <t>The system must maintain version control for the policy changes</t>
  </si>
  <si>
    <t>The system must support multiple standard interface types to bi-directionally exchange data with external systems and parties. Examples include, but not limited to: HL7, XML, JSON, CDA, CCD, DICOM, RLS, FHIR, EDI, delimited files/CSV, and WAV.</t>
  </si>
  <si>
    <t>Interfaces</t>
  </si>
  <si>
    <t>The system must support a data exchange utilizing web services/APIs for real-time system integrations with third parties.</t>
  </si>
  <si>
    <t>The system must use the MDHS ESB for all API and potential batch interfaces.</t>
  </si>
  <si>
    <t>The system must utilize the MDHS ESB to translate code values to facilitate interface processing of inbound and outbound data with external systems.</t>
  </si>
  <si>
    <t>The system must be scalable and leverage an interoperability engine to manage current and future interface requirements.</t>
  </si>
  <si>
    <t>The system must dynamically build and generate data exception reports when data errors are encountered that prevent automatic translation, reformatting and/or loading of data via third-party interface.</t>
  </si>
  <si>
    <t>The system and its associated public facing portals must interface with Interactive Voice Response (IVR) system in real time to allow for improved client engagement.</t>
  </si>
  <si>
    <t>As part of IVR system integration, collected call data must link to a new or existing client record.</t>
  </si>
  <si>
    <t>The system must interface with Artificial Intelligence Chat Bots to allow for improved client engagement.</t>
  </si>
  <si>
    <t>The system must provide integration with third-party calendars (e.g., Outlook, Google, Apple, etc.)</t>
  </si>
  <si>
    <t>When integrating with third-party calendars (Outlook, Google, etc.), the system must ensure that PHI/PII is always protected.</t>
  </si>
  <si>
    <t>The system must provide, or integrate with, current or future office automation tools as determined by the MDHS (e.g., Microsoft Office365).</t>
  </si>
  <si>
    <t>The system must support export and import of data to/from external entities including but not limited to real-time/batch/on-demand export file creation and transmission, as well as secure web services.</t>
  </si>
  <si>
    <t>The ability to export data must be managed by RBAC.</t>
  </si>
  <si>
    <t>The system's interfaces will be able to secure and protect (encrypt) the data and the associated infrastructure from a confidentiality, integrity, and availability perspective.</t>
  </si>
  <si>
    <t>The system must be able to support Application to Application (A2A) synchronous and asynchronous messaging using web services. The messaging capabilities will be able to support a wide variety of A2A patterns including, but not limited to, the following: data look-up and retrieval, data look-up with services provided by other applications, and simple bulk data transfer to/from other systems.</t>
  </si>
  <si>
    <t>The system's interface infrastructure will continue to operate despite failure or unavailability of individual technology components such as a server platform or network connection.</t>
  </si>
  <si>
    <t>The system's interfaces must be scalable to accommodate changes in scale including changes in user population, transaction volume, throughput and geographical distribution.</t>
  </si>
  <si>
    <t>The system's components will be committed to an advanced approach to interoperability using web services and SOA aligned with industry standards and the MDHS' vision for interoperability.</t>
  </si>
  <si>
    <t>The system must be capable of making any changes to the interface data elements/layouts easily, including the ability to test those changes.</t>
  </si>
  <si>
    <t>The system must support the test and validation of interfaces in a dedicated test environment prior to enabling the interface within the production environment.</t>
  </si>
  <si>
    <t>The system must support roll-back functionality should an integration encounter a failure.</t>
  </si>
  <si>
    <t>The system must implement, at a minimum, interfaces (real-time and/or batch) with the applications and data sources listed in this RFP and for any and all data sources identified by MDHS.</t>
  </si>
  <si>
    <t>The system must provide the capability to perform source to destination file integrity checks for exchange of data and alert appropriate parties of issues.</t>
  </si>
  <si>
    <t>The system must have the ability to use standards-based communication protocols, such as TCP/IP, HTTP, HTTP/S and SMTP. The system must support the ability to convert between the protocol native to the messaging platform and other protocols, such as Remote Method Invocation (RMI), IIOP and .NET remoting.</t>
  </si>
  <si>
    <t>The system must utilize the MDHS' existing email server (Office365) to send/receive email, and only send client messages in a secure format by default, logging email failures and virus scan rejections.</t>
  </si>
  <si>
    <t>The system must provide a management/monitoring screen for data interfaces to/from third-party agencies that show, among other things: status, last run date, failed records, record counts.</t>
  </si>
  <si>
    <t>The system must process income withholdings transmitted in both the Cash Concentration and Disbursement Plus (CCD+) and Corporate Trade Exchange (CTX) NACHA payment formats. Note: This requirement may be fulfilled by State Disbursement Unit system, when maintained separately.</t>
  </si>
  <si>
    <t>The system must process income withholdings and corresponding remittance data transmitted using the NACHA endorsed EFT/EDI standard format for child support collections (the Child Support Application Banking Convention). Note: This requirement may be fulfilled by State Disbursement Unit system, when maintained separately.</t>
  </si>
  <si>
    <t>The system must automatically track, monitor, and report on the status of paternity establishment and support Federal regulations, State laws, and procedures for establishing paternity.</t>
  </si>
  <si>
    <t>The system must initiate actions/workflow for the establishment of paternity, including administrative establishment of paternity for all cases in which paternity has not yet been established.</t>
  </si>
  <si>
    <t>The system must have the ability to store a copy (image) of the paternity genetic testing results obtained from genetic testing vendors and/or other states, territories, tribes, and countries in the automated case record at the child level.</t>
  </si>
  <si>
    <t>The system must accept identifying information on voluntary acknowledgments and recensions of paternity, including the date of the affirmation/recension and have the ability to store the associated electronic document received.</t>
  </si>
  <si>
    <t>The system must have the ability to automatically generate completed administrative or judicial documents which are required to establish paternity.</t>
  </si>
  <si>
    <t>The system must initiate actions and workflows, and track and age actions taken to establish paternity (i.e., initiating service of process, where the child is under age 18).</t>
  </si>
  <si>
    <t>The system must have the ability to update the court regarding a finding of non-paternity.</t>
  </si>
  <si>
    <t>The system must include service of process information on each of the cases on the court docket.</t>
  </si>
  <si>
    <t>The system must reinitiate service of process for those cases where previous attempts have failed, but adequate information exists to attempt service of process. The system must also provide an escalation process for cases where multiple attempts have been unsuccessful.</t>
  </si>
  <si>
    <t>The system must initiate necessary actions to meet the Mississippi's guidelines for diligent efforts to serve process and periodically reinitiate service of process, in cases where previous attempts have failed but adequate identifying information exists.</t>
  </si>
  <si>
    <t>The system must reinitiate the service process for service requirements when new address information is available.</t>
  </si>
  <si>
    <t>The system must automatically generate the required documents to notify case participants to submit to genetic testing in contested paternity cases.</t>
  </si>
  <si>
    <t>The system must automatically generate the required documents to petition the court or administrative authority to require case participants to submit to genetic testing.</t>
  </si>
  <si>
    <t>The system must automatically generate the required documents to obtain a judgment in contested paternity cases for genetic testing costs from the party who was denied paternity, when such paternity is later established.</t>
  </si>
  <si>
    <t>The system must initiate genetic testing workflow, track, and monitor all genetic testing activities.</t>
  </si>
  <si>
    <t>The system must interface with genetic testing vendor(s) to schedule genetic tests, receive genetics testing results (images), and exchange case and participant information. If a direct interface is not feasible, the system must allow authorized users to complete these actions using other methods (e.g., print documents or email).</t>
  </si>
  <si>
    <t>The system must support case closure when paternity status/case action combinations allow closure in accordance with Federal case closure rules.</t>
  </si>
  <si>
    <t>The system must capture whether genetic testing was submitted to voluntarily or based on a court order.</t>
  </si>
  <si>
    <t>The system must capture the method of paternity establishment: (e.g., child of a marriage, voluntary acknowledgment, court ordered, court ordered via long-arm).</t>
  </si>
  <si>
    <t>The system must generate all documents needed to initiate appropriate actions for long-arm paternity establishment activities.</t>
  </si>
  <si>
    <t>The system must maintain a case record for all cases worked using the long-arm statute, including actions taken and information received from the other State.</t>
  </si>
  <si>
    <t>The system must maintain data and status on IV-D cases where paternity establishment is handled outside of the IV-D agency.</t>
  </si>
  <si>
    <t>The system must have the ability, when a case is referred to another state, to generate and transmit information regarding whether a child was born out of wedlock and whether paternity was established in Mississippi.</t>
  </si>
  <si>
    <t>The system must automatically record and monitor information on obligations, and generate documents to establish support including medical support.</t>
  </si>
  <si>
    <t>The system must monitor case activities to ensure that activities are completed within 90 calendar days of the location of the alleged father or NCP, regardless of whether paternity has been established. Case activities include, but not limited to: complete service of process necessary to commence proceedings to establish a support order and paternity if necessary, establish an order for support which may be based on a voluntary acknowledgment of paternity, and document, in accordance with Mississippi procedures, unsuccessful attempts to serve process in accordance with Mississippi's diligent effort guidelines.</t>
  </si>
  <si>
    <t>The system must initiate actions and record and track the time from successful service of process to obligation establishment or other case disposition to ensure that established expedited process timeframes are met.</t>
  </si>
  <si>
    <t>The system must identify and monitor cases based on business rules that support Mississippi's review and modification procedures.</t>
  </si>
  <si>
    <t>The system must automatically initiate a review and adjustment workflow based on established business rules, automatically take appropriate actions, and generate required documents and contacts to seek case party input, as needed. The system must also generate subsequent documents needed to perform all review and adjustment activities and maintain a history of all actions taken.</t>
  </si>
  <si>
    <t>The system must alert multiple parties of tracking and aging or review and modifications according to case load assignment criteria.</t>
  </si>
  <si>
    <t>The system must automatically generate the required documents to establish an order of support and/or to serve process and automatically record the date and type of documents generated in the case record.</t>
  </si>
  <si>
    <t>The system must have the ability to show the NCP and/or CP alias name (AKA) on the petition when present. The system must also have the ability to include/print the entire name (first, middle and last) for the parties.</t>
  </si>
  <si>
    <t>The system must have the ability to capture and track multiple putative fathers to be listed.</t>
  </si>
  <si>
    <t>The system must limit the ability for legal documents to be printed in cases where the documents do not contain data in all required fields. Instead, the system must prompt the user for resolution.</t>
  </si>
  <si>
    <t>The system must have the ability to create documents, e-sign, and print completed packets in multiple locations, including those sister agencies such as at the Attorney General, when required.</t>
  </si>
  <si>
    <t>The system must have the ability to securely send petition/service packets to appropriate internal and external entities, instead of printing and mailing them.</t>
  </si>
  <si>
    <t>The system must initiate actions, record, and track the time from successful service of process to obligation establishment or other case disposition, regardless of whether paternity needs to be established, to ensure that expedited process timeframes are met.</t>
  </si>
  <si>
    <t>The system must track and report on all dismissals and reasons for dismissals and have the ability to automatically reinitiate action to obtain a support order at the appropriate time.</t>
  </si>
  <si>
    <t>The system must provide an updatable table identifying parties (e.g., magistrates, judges, special masters, etc.) and require their association with all court actions, including court outcomes (e.g., orders, continuance, dismissals) and reasons.</t>
  </si>
  <si>
    <t>The system must accept, maintain, and process information concerning established support orders.</t>
  </si>
  <si>
    <t>The system must use current Federal and State child support guidelines to automatically calculate the support obligation amount.</t>
  </si>
  <si>
    <t>The system must automatically capture all cases associated with the NCP and apply appropriate credits to the guideline's calculations.</t>
  </si>
  <si>
    <t>The system must allow overrides and edits on associated NCP cases.</t>
  </si>
  <si>
    <t>The system must include in the guidelines calculations all verified employment and wages associated with the employment and timeframes valid for each employer/wage combination.</t>
  </si>
  <si>
    <t>They system must automatically calculate and include the percentage of change from the last order and current calculation, when calculating guidelines for review and adjust or modifications.</t>
  </si>
  <si>
    <t>The system must identify exceptions and what they are, but omit from calculations periods of time during which the NCP is ineligible for payment due to exceptions (e.g., recipient of TANF or SSI benefits).</t>
  </si>
  <si>
    <t>The system must capture information that a client used to fraudulently claim or attempt to claim benefits. Examples include, but not limited to: alias names, SSNs, and false addresses.</t>
  </si>
  <si>
    <t>The system must import, maintain, and automatically use tax tables in guidelines calculations, allowing for manual updates.</t>
  </si>
  <si>
    <t>The system must initiate appropriate workflows for all cases associated with an NCP when an address is newly validated by process of service (or any other method).</t>
  </si>
  <si>
    <t>The system must maintain case data on the application of the guidelines and deviations from the guidelines for the required four-year guideline review, according to Federal and State statutory requirements.</t>
  </si>
  <si>
    <t>The system must use code tables to maintain reasons for deviation from guidelines, however, if "other" is selected as a reason, require text entry.</t>
  </si>
  <si>
    <t>The system must have the ability to capture necessary data to support order establishment according to Federal and State statutory requirements.</t>
  </si>
  <si>
    <t>The system must have the ability to allow for differing interest rates to accommodate interstate orders when an order is established and entered.</t>
  </si>
  <si>
    <t>The system must maintain history of all previously established orders for CP and NCP.</t>
  </si>
  <si>
    <t>The system must have the ability for support order histories to track the custodial party for each child in the history (e.g., change of custody) as well as who had custody and when.</t>
  </si>
  <si>
    <t>The system must allow entry of multiple docket numbers on orders.</t>
  </si>
  <si>
    <t>The system must identify obligations as voluntary, administrative, or court ordered.</t>
  </si>
  <si>
    <t>The system must support the administrative establishment of support orders, including the generation of appropriate documents and notifications.</t>
  </si>
  <si>
    <t>The system must generate a notice to the CP and NCP of all proceedings in which support obligations might be established or modified.</t>
  </si>
  <si>
    <t>The system must accept, maintain, and process information concerning medical support services.</t>
  </si>
  <si>
    <t>The system must automatically identify IV-A, Foster Care, and Non-IV-A Title XIX-only cases requiring medical support services to determine those cases in which the custodial parent, in cases other than Title IV-E Foster Care, and child(ren) does not have satisfactory health insurance other than Title XIX.</t>
  </si>
  <si>
    <t>The system must automatically identify IV-A, Foster Care, and Non-IV-A Title XIX-only cases requiring medical support services to determine those cases in which health insurance is available to the NCP at reasonable cost</t>
  </si>
  <si>
    <t>The system must automatically identify IV-A, Foster Care, and Non-IV-A Title XIX-only cases requiring medical support services to determine those cases in which State Healthcare Marketplace indicates either through interface or manual search that insurance may be available.</t>
  </si>
  <si>
    <t>The system must identify if the only available insurance is Medicaid or CHIP when the child(ren) has that coverage (Final rule).</t>
  </si>
  <si>
    <t>The system must automatically identify additional cases where there is a high potential for obtaining medical support based on evidence that health insurance may be available to the NCP at reasonable cost and/or facts sufficient to warrant modification of the support order to include health insurance.</t>
  </si>
  <si>
    <t>The system must record the percentages ordered for cash medical support or unreimbursed medical expense amounts when there are no monetary orders and direct the next action accordingly.</t>
  </si>
  <si>
    <t>The system must automatically generate the documents required to petition for the inclusion of medical support provisions in new or modified support orders, capturing domestic violence information and editing documents/notifications according to business rules.</t>
  </si>
  <si>
    <t>The system must automatically generate notices to custodial parents providing information about health insurance policies secured for dependent children.</t>
  </si>
  <si>
    <t>The system must incorporate the guidelines support calculation.</t>
  </si>
  <si>
    <t>The system must track legal documents designated for service of process and personal service.</t>
  </si>
  <si>
    <t>The system must track the assignment of documents and service attempts and results.</t>
  </si>
  <si>
    <t>The system must generate all legal documents, forms, and letters necessary to complete the review and adjustment process.</t>
  </si>
  <si>
    <t>The system must assign cases to workers based on the office, the function type of the cases, and other criteria identified by the MDHS.</t>
  </si>
  <si>
    <t>The system must allow an authorized user to set parameters for workload assignment.</t>
  </si>
  <si>
    <t>The system must have capabilities to assign a case to users based on case load related business rules.</t>
  </si>
  <si>
    <t>The system must notify designated users when a case is assigned to that user.</t>
  </si>
  <si>
    <t>The system must provide the capability for a supervisor to view another worker's workload and accompanying alerts.</t>
  </si>
  <si>
    <t>The system must, based on specific user actions online (not as part of the batch process), automatically forward a case to the next function type and assign the case to the appropriate user.</t>
  </si>
  <si>
    <t>The system must allow a user to override the automatic case forwarding process and assign the case to the appropriate worker.</t>
  </si>
  <si>
    <t>The system must allow an authorized user to realign workload assignment for users or to adjust a user's workload.</t>
  </si>
  <si>
    <t>The system must allow an authorized user to transfer individual cases from one user to another, or to another queue.</t>
  </si>
  <si>
    <t>The system must assign cases to users as part of a  workload based on user-entered parameters and function type. Function type will determine whether the system focuses on the CP or NCP.</t>
  </si>
  <si>
    <t>The system must identify confidential cases (automatically, if possible, or if not, accept manual input) and direct the case according to business rules to appropriate case load assignment.</t>
  </si>
  <si>
    <t>The system must have online electronic workload management reports that provide information to an employee, office/unit manager, and at the program level for backlog identification.</t>
  </si>
  <si>
    <t>The system must have online electronic workload management reports that provide information to an employee, office/unit manager, and at the program level for workload allocation.</t>
  </si>
  <si>
    <t>The system must have online electronic workload management reports that provide information to an employee, office/unit manager, and at the program level for caseload tracking and aging.</t>
  </si>
  <si>
    <t>The system must allow for specialized caseload for cases that require authorization of supplemental benefits.</t>
  </si>
  <si>
    <t>The system must monitor specialized caseload counts and restart the automatic assignment of cases when the number of assigned cases falls below a workers capacity limit.</t>
  </si>
  <si>
    <t>The system must monitor specialized caseload counts and stop automatically assigning cases when worker caseload capacity limits are reached.</t>
  </si>
  <si>
    <t>The system must capture reporting for cases elevated for a supplement to be completed for the economic assistance programs.</t>
  </si>
  <si>
    <t>The system must display all of the cases assigned to the worker across all specialized caseloads.</t>
  </si>
  <si>
    <t>The system must automatically route cases in or out of specialized caseloads based on the criteria for each specialized caseload type.</t>
  </si>
  <si>
    <t>The system must assign specialized cases to workers with corresponding specialized case management skillsets, as defined in the business rules.</t>
  </si>
  <si>
    <t>The system must provide MDHS designated workers a workload summary for their respective organization, including the organization's locations, by each worker in the organization.</t>
  </si>
  <si>
    <t>The vendor must utilize an industry standard application performance monitoring and management solution to monitor operations on a daily basis, using automation with real-time alerts, making necessary adjustments to maintain peak operation efficiency.</t>
  </si>
  <si>
    <t>Performance</t>
  </si>
  <si>
    <t>The vendor must perform ongoing monitoring of operating systems.</t>
  </si>
  <si>
    <t>The vendor must perform ongoing monitoring of proprietary systems and components.</t>
  </si>
  <si>
    <t>The vendor must perform ongoing monitoring of databases.</t>
  </si>
  <si>
    <t>The vendor must perform ongoing monitoring of third-party components.</t>
  </si>
  <si>
    <t>The vendor must perform an in-depth analysis and probe of all system components as requested to test database integrity and system performance.</t>
  </si>
  <si>
    <t>The vendor must perform database and performance tuning as needed, in order to keep the database running as efficiently and effectively as possible.</t>
  </si>
  <si>
    <t>The system must generate system utilization statistics.</t>
  </si>
  <si>
    <t>The system must provide information on performance metrics identified.</t>
  </si>
  <si>
    <t>The system must provide SLA monitoring and reporting utilizing OOTB platform and portal platform reporting/monitoring capabilities.</t>
  </si>
  <si>
    <t>The system must have the ability to monitor system component performance and availability, to detect and generate administrative alerts and warnings when performance is below a set standard level.</t>
  </si>
  <si>
    <t>The system must have the capacity to accommodate a growing number of users, with the MDHS user base connecting simultaneously, without any system performance degradation.</t>
  </si>
  <si>
    <t>The system must assign cases to QC roles based on configurable rules.</t>
  </si>
  <si>
    <t>The system must automatically generate fraud investigation requests that meet predefined conditions for mandatory referral.</t>
  </si>
  <si>
    <t>The system must allow a QC reviewer to enter QC sampling selection parameters.</t>
  </si>
  <si>
    <t>The system must retain the history of all QC sample selection parameters used and provide a web page that will display QC sampling history.</t>
  </si>
  <si>
    <t>The system must extract the cases and associated QC required data that meet the criteria of the QC sample selection parameters.</t>
  </si>
  <si>
    <t>The system must provide a random sampling process based on user-defined algorithms that are compliant with the Quality Control Sample Plan.</t>
  </si>
  <si>
    <t>The system must provide an automated sample case selection process (e.g., identification of the start number, interval, and program).</t>
  </si>
  <si>
    <t>The system must provide the ability to complete a manual override and/or adjustments to sample selection parameters.</t>
  </si>
  <si>
    <t>The system must record and track the sample selection parameters used for each sample.</t>
  </si>
  <si>
    <t>The system retain and produce files containing sample frames for specified historical periods.</t>
  </si>
  <si>
    <t>The system must provide a method for users with appropriate permissions to increase or decrease the frequency of the sample selection.</t>
  </si>
  <si>
    <t>The system must generate and assign an identifier for each client/case selected in each sample.</t>
  </si>
  <si>
    <t>The system must extract data elements related to eligibility for the selected cases and transfer the data to designated location via a batch process after the sample selection is completed.</t>
  </si>
  <si>
    <t>The system must include the sample parameters, frame size, and related sampling selection data in the sample file.</t>
  </si>
  <si>
    <t>The system must allow multiple sample pulls within the same sample month.</t>
  </si>
  <si>
    <t>The system must allow users with appropriate access to select additional data elements and effective dates of information to be included in the sample file.</t>
  </si>
  <si>
    <t>The system must allow authorized users to select additional samples based on the defined criteria. Examples include, but not limited to: select actives or negatives universe, select by site code/office ID, declaring number of cases needed, select by local office supervisor, declaring number of cases needed, select by a threshold of allotment and gross income, select by start and end date based on rules for the sample type (e.g., paid benefit range for active sample, action date or zero payment range for negative sample), and select by case status (e.g., active, closed, denied, transitional).</t>
  </si>
  <si>
    <t>The system must provide a repository for QC workers to return QC review reports.</t>
  </si>
  <si>
    <t>The system must assign to designated work queue/caseload and trigger workflow when QC review reports are received.</t>
  </si>
  <si>
    <t>The system must provide guided or expert navigation for workers to enter case notes, QC review results, generate RFIs, and recalculate eligibility, if applicable.</t>
  </si>
  <si>
    <t>The system must allow workers to search and select applications for QC review using a variety of search criteria and filters.</t>
  </si>
  <si>
    <t>The system must capture the cooperation or non-cooperation by the client within the QC process.</t>
  </si>
  <si>
    <t>The system must close the case and disallow the reopening of the case based on Federal and/or State requirements for non-cooperation by the client within the QC process.</t>
  </si>
  <si>
    <t>The system must have ability to set timelines to complete reviews and responses.</t>
  </si>
  <si>
    <t>The system must have ability to notify appropriate person(s) of approaching and past due deadlines.</t>
  </si>
  <si>
    <t>The system must have ability to notify staff when a QA review form is complete.</t>
  </si>
  <si>
    <t>The system must have the ability to assign a unique number to each QA review.</t>
  </si>
  <si>
    <t>The system must have the ability to select samples based on specified parameters as defined by the MDHS.</t>
  </si>
  <si>
    <t>The system must have the ability to identify the universe from which sample cases are selected for review.</t>
  </si>
  <si>
    <t>The system must have the ability to specify sample selection criteria for pulling random samples.</t>
  </si>
  <si>
    <t>The system must support disqualification of authorized representatives, including the ability to permanently disqualify persons from functioning as an authorized representative.</t>
  </si>
  <si>
    <t>The system must report on case activity based on date parameters including, but not limited to, Federal and State fiscal year capabilities.</t>
  </si>
  <si>
    <t>The system must allow a system user to flag a client and/or provider with a substantiated misrepresentation.</t>
  </si>
  <si>
    <t>DSNAP,SNAP E&amp;T,TANF,CCPP</t>
  </si>
  <si>
    <t>The system must track the approval of a one-time waiver for individuals with a substantiated misrepresentation.</t>
  </si>
  <si>
    <t>The system must support the Subsidy Corrective Action Plan process.</t>
  </si>
  <si>
    <t>The system must track when a provider has submitted an incorrect request for payment or attendance sheet, or has violated the service agreement.</t>
  </si>
  <si>
    <t>DSNAP,CCPP</t>
  </si>
  <si>
    <t>The system must generate corrective action plans, unique to each service provider, with configurable timeframe tracking based on the date of issuance.</t>
  </si>
  <si>
    <t>The system must generate a prior check-in/out report by parent and by provider as a means of identifying fraudulent activity.</t>
  </si>
  <si>
    <t>The system must capture ongoing program compliance, sanctions and disqualifications imposed, and re-compliance after serving sanction and disqualification periods.</t>
  </si>
  <si>
    <t>The system must support scheduling requests to extract data for reporting.</t>
  </si>
  <si>
    <t>The system must support the 30-day penalty closure policy option.</t>
  </si>
  <si>
    <t>The system must maintain information required to prepare Federal, State and ad hoc reports.</t>
  </si>
  <si>
    <t>The system must support the reporting of staff performance measures in the form of a balanced scorecard in accordance with Federal and State regulations.</t>
  </si>
  <si>
    <t>The system must provide the ability to gather statistics regarding staff performance, including but not limited to: adherence to mandated timeframes, case actions undertaken, and collections on assigned cases. The system must generate these statistics at worker, case, regional office, and State levels.</t>
  </si>
  <si>
    <t>The system must have the ability to identify and report on the users who performed work on a case.</t>
  </si>
  <si>
    <t>The system must have the ability to report on trends based on Federal and/or State reporting requirements. Examples include, but not limited to: cases in compliance and out of compliance; reasons for out of compliance, fair hearings, and applications withdrawals.</t>
  </si>
  <si>
    <t>The system must contain all the system processing data needed to support the annual self-assessment report and any State or Federal audit requirements.  It must provide for random sample selection, aggregate the system data associated with the selected sample, and provide for export of the universe and sample data to the self-assessment analysis database.</t>
  </si>
  <si>
    <t>The system must allow for random sample to be selected for a specific county or office.</t>
  </si>
  <si>
    <t>The system must provide for self-assessment analysis reporting using the extract of the self-assessment sample. This must compile the extracted data and evaluate it according to self-assessment standards.</t>
  </si>
  <si>
    <t>The system must provide Federal and State Auditors supporting documentation related to the Federal reports for current and past years.</t>
  </si>
  <si>
    <t>The system must have system controls in place to ensure the completeness and reliability of, and ready access to, the data used to compute the performance levels for the five measures in accordance with 45 CFR 305.2 and 305.32.</t>
  </si>
  <si>
    <t>SNAP,DSNAP,SNAP E&amp;T,CSE</t>
  </si>
  <si>
    <t>The system must maintain an online OCSE-157 report with Federal fiscal year-to-date totals. The report data must be worker, county, office, team, and statewide accessible. The report must establish an audit history to link each row and column entry with the case, child, collection, or disbursement data.</t>
  </si>
  <si>
    <t>The system must maintain data and be able to generate reports for all OCSE Federal reports including 157, 34, and 396.</t>
  </si>
  <si>
    <t>The system must maintain and generate all information required to complete the OCSE-34A collections report. The system must provide online drill-down capabilities in the report.</t>
  </si>
  <si>
    <t>The system must maintain and generate all information required to complete the OCSE-396A expenditures report.  The system must provide online drill-down capabilities in the report.</t>
  </si>
  <si>
    <t>The system must maintain and generate all information required to complete the OCSE-157 performance report.  The system must provide online drill-down capabilities in the report.</t>
  </si>
  <si>
    <t>The system must maintain and generate all information necessary to complete any other reporting requirement(s) defined as necessary by OCSE in issued written instructions.</t>
  </si>
  <si>
    <t>The system must collect data elements in accordance with Federal reporting guidelines for form ACF-801.</t>
  </si>
  <si>
    <t>The system must collect data elements in accordance with Federal reporting guidelines for case-level family, child, and setting data.</t>
  </si>
  <si>
    <t>The system must create reports that measure disposition timeliness for both SNAP and TANF according to Federal and/or State business rules.  </t>
  </si>
  <si>
    <t>The system must collect and trend data in accordance with FNS reporting requirements. Examples include, but are not limited to: FNS-46: Issuance Reconciliation,  FNS-101: Participation by Race, FNS-209: Status of Claims Against Households, FNS-292B: Disaster Relief: SNAP Benefit Issuance, FNS-292B: Report of Supplemental NA Program Benefit Issuance for Disaster Relief, FNS-366A:  Program and Budget Summary Statement: Budget Projection, FNS-366B: Program and Budget Summary statement: Program Activity, FNS-388: State Issuance, FNS-388A: Participation Estimates, FNS-583: SNAP Employment and Training (E&amp;T) Program Activity Report, FNS-834: Direct Certification Rate Data Element, and all reports in the FNS System Integrity Review Tool (SIRT).</t>
  </si>
  <si>
    <t>The system must allow for case reports to be created on an ad hoc or scheduled basis against all case data elements.</t>
  </si>
  <si>
    <t>The system must be able to report on total and percentages of individual client categories as defined by the MDHS.</t>
  </si>
  <si>
    <t>The system must be able to report on benefit usage as defined by the MDHS.</t>
  </si>
  <si>
    <t>The system must be able to report on expenditures across programs and clients.</t>
  </si>
  <si>
    <t>The system must generate periodic (monthly, quarterly) reports to accommodate all household reporting types (simplified reporting, change reporting).</t>
  </si>
  <si>
    <t>The system must produce a report of the actions resulting from the interstate matches (e.g. PARIS, NAC, NDNH).</t>
  </si>
  <si>
    <t>The system must provide control reports that show case actions auto-performed by the system.</t>
  </si>
  <si>
    <t>The system must have the ability to provide an extract of authorized cases per sampling frame for review of case and payment details for ACF-400, ACF-401, and ACF- 402 (Measurement for Improper Authorization Sample).</t>
  </si>
  <si>
    <t>The system must have the ability to provide an extract of replacement authorized cases per sampling frame (Measurement for Improper Authorization Sample).</t>
  </si>
  <si>
    <t>The system must provide sample frames of authorized cases for the sampling period (Measurement for Improper Authorization Sample).</t>
  </si>
  <si>
    <t>The system must provide a sampling period for the most recent Federal Fiscal Year ending prior to the submission date for the State Improper Authorizations for Payment Report (ACF- 402).</t>
  </si>
  <si>
    <t>The system must perform sample case extraction according to the FNS Handbook 310-SNAP Quality Control.</t>
  </si>
  <si>
    <t>The system must provide a method for clients to provide clarification/verification of information when there is a question related to the use of benefits.</t>
  </si>
  <si>
    <t>The system must have ability to create and store a series of case review forms in accordance with MDHS compliance requirements.</t>
  </si>
  <si>
    <t>The system must provide electronic versions of the QA case review form.</t>
  </si>
  <si>
    <t>The system must have ability to create, modify, and terminate review forms.</t>
  </si>
  <si>
    <t>The system must store and allow retrieval of all prior versions of forms.</t>
  </si>
  <si>
    <t>The system must have ability for the QA case review form to be completed for an individual case and stored in the system.</t>
  </si>
  <si>
    <t>The system must have ability to populate review forms with data already in the system.</t>
  </si>
  <si>
    <t>The system must have ability for workers to review, comment, and return their own QA review forms electronically to the reviewer.</t>
  </si>
  <si>
    <t>The system must create and input a pre-determined, specialized portion of case information into a special case file for review or audit that can be sent electronically for different types of reviews, by program area. Examples include, but not limited to: single State audit, federal re-reviews, and QC reviews.</t>
  </si>
  <si>
    <t>The system must create electronic copies of portions of imaged records, attach to a review record, and send electronically (e.g., date specific records, certain pages of multiple-page record, specific document types).</t>
  </si>
  <si>
    <t>The system must automatically store and retrieve QA records, reports, and samples.</t>
  </si>
  <si>
    <t>The system must allow workers to view a history of QA review activity.</t>
  </si>
  <si>
    <t>The system must track timeliness of completion of case review and agency/worker response.</t>
  </si>
  <si>
    <t>The system must capture data elements related to QA, such as causal factors.</t>
  </si>
  <si>
    <t>The system must automatically determine/recommend a causal factor based on information entered on the QA review form.</t>
  </si>
  <si>
    <t>The system must create, modify, or delete error causal factors and case elements.</t>
  </si>
  <si>
    <t>The system must pull reports by any data element such as review type or error causal factor from data contained in the review forms.</t>
  </si>
  <si>
    <t>The system must automatically generate QA reports.</t>
  </si>
  <si>
    <t>The system must manage rules for early fraud intervention using a business rules engine.</t>
  </si>
  <si>
    <t>The system must allow manual override of eligibility results for the purpose of denying or discontinuing benefits due to potential fraud according to State and Federal regulations.</t>
  </si>
  <si>
    <t>The system must determine if fraud is established based on a clients response to clarifying questions or RFI, according to Federal and/or State business rules.</t>
  </si>
  <si>
    <t>The system must allow workers to initiate requests for investigations.</t>
  </si>
  <si>
    <t>The system must auto-populate an investigation referral form with available data.</t>
  </si>
  <si>
    <t>The system must allow authorized workers to record and track when a potential subject of an investigation is a non-client system user and generate an alert to defined staff (e.g., Human Resources profile) to review whether an internal affair investigation is needed.</t>
  </si>
  <si>
    <t>The system must route investigation reports to an appropriate work queue or designated caseload.</t>
  </si>
  <si>
    <t>The system should identify discrepant/questionable information based on pre-defined criteria and case information (including information as a result of an interface with the Federal or State DSH), that may require referral for early fraud intervention at the time of application, renewal or change and prompt workers to generate requests for investigations (e.g., undocumented pregnant woman).</t>
  </si>
  <si>
    <t>The system must allow users to flag a client and/or provider with a substantiated misrepresentation.</t>
  </si>
  <si>
    <t>The system must ensure that providers owning multiple sites who have had their Provider Services Agreement revoked at one site shall also have all other subsequent site Provider Services Agreements revoked.</t>
  </si>
  <si>
    <t>The system must allow workers to flag a provider prohibited from participation in the subsidy system due to "striking out."</t>
  </si>
  <si>
    <t>The system must provide a web portal to support provider functions. Examples include, but not limited to: submit background checks on individuals affiliated with the Child Care program, view background check eligibility status and notices, view authorizations and payment details, report days the Child Care program will be closed, view quality rating information and documents, report attendance, view certain licensing, certification, and registry details/documents, and report and view billing information.</t>
  </si>
  <si>
    <t>The system must capture health and safety requirements according to Federal and/or State business rules.</t>
  </si>
  <si>
    <t>The system must link the provider ID number to all provider-related data and notifications.</t>
  </si>
  <si>
    <t>The system must assign a unique identification number for every provider site.</t>
  </si>
  <si>
    <t>The system must track scheduled Child Care provider fingerprinting according to Federal and/or State business rules.</t>
  </si>
  <si>
    <t>The system must schedule service provider visits for establishing, postponing, or canceling visits.</t>
  </si>
  <si>
    <t>The system must distinguish between inspection types according to Federal and/or State business rules.</t>
  </si>
  <si>
    <t>The system must flag licensing requirements as needing follow up and assign configurable timeframes for completion.</t>
  </si>
  <si>
    <t>The system must record serious occurrence reports made by providers according to Federal and/or State business rules.</t>
  </si>
  <si>
    <t>The system must support the emergency Child Care center closure process according to Federal and/or State business rules.</t>
  </si>
  <si>
    <t>The system must allow workers to request a certificate of registration upon completion of inspection report.</t>
  </si>
  <si>
    <t>The system must identify incomplete fields in the provider record prior to requesting approval for issuance of a final certificate of registration or license.</t>
  </si>
  <si>
    <t>The system must generate a summary investigation report in a text document that includes, but is not limited to: the statement of complaint, dates the investigation was conducted, specific violations found, technical assistance provided/recommended, corrective action plan issued, and negative action recommended.</t>
  </si>
  <si>
    <t>The system must schedule an on-site visit for providers</t>
  </si>
  <si>
    <t>The system must allow workers to enter information about approved waivers and variances to specific regulations according to Federal and/or State business rules.</t>
  </si>
  <si>
    <t>The system must allow the provider to submit a request for a waiver or variance to specific regulations according to Federal and/or State business rules.</t>
  </si>
  <si>
    <t>The system must allow workers to record the category of the license issued according to Federal and/or State business rules.</t>
  </si>
  <si>
    <t>The system must allow workers to record the approval date and expiration date of the license issued according to Federal and/or State business rules.</t>
  </si>
  <si>
    <t>The system must allow the appropriate system user to amend the license according to Federal and/or State business rules.</t>
  </si>
  <si>
    <t>The system must support the suspension of placements process according to Federal and/or State business rules.</t>
  </si>
  <si>
    <t>The system must allow workers to enter required information about the license amendment or modification according to Federal and/or State business rules.</t>
  </si>
  <si>
    <t>The system must allow workers to enter required information about a suspension of placement with a provider according to Federal and/or State business rules.</t>
  </si>
  <si>
    <t>The system must allow workers to revoke a license according to Federal and/or State business rules.</t>
  </si>
  <si>
    <t>The system must allow the user to enter required information about the license revocation according to Federal and/or State business rules.</t>
  </si>
  <si>
    <t>The system must track provider hearing activities, including but not limited to, scheduling and hearing results.</t>
  </si>
  <si>
    <t>The system must allow providers to submit requests for hearings within approved timeframes according to Federal and/or State business rules.</t>
  </si>
  <si>
    <t>The system must accommodate a rules-based complaint workflow, including the following elements with configurable deadline timeframes: initial submission of the complaint, tracking all actions, tracking results of the complaint investigation, technical assistance, and follow-up.</t>
  </si>
  <si>
    <t>The system must track information about a provider's attendance in payment enrollment training.</t>
  </si>
  <si>
    <t>The system must allow providers to view payment details via a secure web portal.</t>
  </si>
  <si>
    <t>The system must allow providers to view information about approved children, hours, and rates via a secure web portal.</t>
  </si>
  <si>
    <t>The system must log and maintain provider contacts.</t>
  </si>
  <si>
    <t>SNAP E&amp;T,TANF,CCPP</t>
  </si>
  <si>
    <t>The system must receive and track requests made by parents for lists of substantiated complaints on a provider.</t>
  </si>
  <si>
    <t>The system must archive approved Child Care certificates.</t>
  </si>
  <si>
    <t>The system must maintain a record of the date and reason a new approved Child Care certificate was issued or an existing Child Care certificate was re-issued.</t>
  </si>
  <si>
    <t>The system must allow workers to manually change the Child Care certificate according to Federal and/or State business rules.</t>
  </si>
  <si>
    <t>The system must set the services start and end date based on Federal and/or State business rules.</t>
  </si>
  <si>
    <t>The system must support the intake of all regulatory complaints regardless of provider type.</t>
  </si>
  <si>
    <t>The system must capture information related to the provider grievance process.</t>
  </si>
  <si>
    <t>The system must generate a list of substantiated complaints on any licensed or registered provider.</t>
  </si>
  <si>
    <t>The system must identify disqualified providers and must not allow payment for services rendered after the disqualification time/date or during disqualification period if certification is later reestablished.</t>
  </si>
  <si>
    <t>The system must allow a user to terminate provider access to the system based on program business rules.</t>
  </si>
  <si>
    <t>The system must generate Certificate of Authorizations to providers and to clients. Certificate of Authorizations should include, but not limited to: service start/end dates, authorization information, fee level and co-payments, and remaining units of time limited assistance available in accordance with Federal and/or State business rules.</t>
  </si>
  <si>
    <t>The system must generate a notice to the provider for disqualification.</t>
  </si>
  <si>
    <t>The system must track and apply the base rate according to Federal and/or State business rules.</t>
  </si>
  <si>
    <t>The system must support the use of daily rate tables.</t>
  </si>
  <si>
    <t>The system must support the use of monthly rate tables.</t>
  </si>
  <si>
    <t>The system must select and apply the per day rate or the monthly rate according to Federal and/or State business rules.</t>
  </si>
  <si>
    <t>The system must store the results of Child Care provider background checks, including criminal history record, child or adult protective services records, and sexual offender registry, according to Federal and/or State business rules.</t>
  </si>
  <si>
    <t>The system must flag providers with findings in their background checks.</t>
  </si>
  <si>
    <t>The system must track provider staff qualifications and requirements, including but not limited to: health assessment, tuberculin risk assessment, documentation of credentials, criminal history background check, and child abuse or neglect background check.</t>
  </si>
  <si>
    <t>The system must distinguish between various Child Care licensing and certificate types, including but not limited to: initial, provisional, registration, and regular license, according to Federal and/or State business rules.</t>
  </si>
  <si>
    <t>The system must distinguish between various service provider types.</t>
  </si>
  <si>
    <t>The system must capture information about all technical assistance activities provided to a Child Care provider.</t>
  </si>
  <si>
    <t>The system must record information on the provider's total capacity.</t>
  </si>
  <si>
    <t>The system must record information on the provider's capacity by age grouping.</t>
  </si>
  <si>
    <t>The system must record information on the business ownership type for all provider types according to Federal and/or State business rules.</t>
  </si>
  <si>
    <t>The system must record information on a provider's employees according to Federal and/or State business rules.</t>
  </si>
  <si>
    <t>The system must record information on the services offered by the provider, including but not limited to: evening or night time care, pre-kindergarten, standard curriculum, and transportation.</t>
  </si>
  <si>
    <t>The system must record the provider address, physical location, mailing address, email address, and directions to the location.</t>
  </si>
  <si>
    <t>The system must track the number of subsidized children served by the provider.</t>
  </si>
  <si>
    <t>The system must support the provider inquiry according to Federal and/or State business rules.</t>
  </si>
  <si>
    <t>The system must track Child Care center types, based upon the total capacity of the center, according to Federal and/or State business rules.</t>
  </si>
  <si>
    <t>The system must flag self-certified service providers for on-site evaluation based on a configurable random selection of the total number of registered informal, relative, and family Child Care homes.</t>
  </si>
  <si>
    <t>The system must associate employees and volunteers with a provider record.</t>
  </si>
  <si>
    <t>The system must allow a Child Care certificate to be re-issued.</t>
  </si>
  <si>
    <t>The system must record and make child absences viewable to workers.</t>
  </si>
  <si>
    <t>The system must provide the ability for users to filter data and extract the filtered data (including by case, user, workflow), manipulate the extracted data, and specify the desired format and media of the output.</t>
  </si>
  <si>
    <t>Reporting and analytics</t>
  </si>
  <si>
    <t>The system's reporting tool must provide access to all data fields across all programs and divisions.</t>
  </si>
  <si>
    <t>The system must be capable of creating and saving (exporting) reports in different file formats (.pdf, .xls, .csv), and formatting reports to be printer-friendly.</t>
  </si>
  <si>
    <t>The system must provide multiple options to view data including, but not limited to: bar chart, pie chart, line chart, scatter plot, histogram, and heat map.</t>
  </si>
  <si>
    <t>The system must provide a process by which reports may be delivered by email in accordance with all appropriate regulations (e.g., all appropriate State security regulations).</t>
  </si>
  <si>
    <t>The system must support reporting against multiple years (e.g., Federal fiscal year, State fiscal year, calendar year), multiple quarters, and other configurable time periods. Each relevant report will offer these as default filters and allow dynamic selection via dropdown lists.</t>
  </si>
  <si>
    <t>The system must provide the capability for reports to be automatically generated based on a predefined schedule and distributed to subscribed users on a periodic basis. The user will be able to select their desired report distribution method (e.g.,. - an electronic attachment or a notification, alerting user that the report is ready to be downloaded).</t>
  </si>
  <si>
    <t>The system must support address label printing and automated mail merge/form letters. Mail merge must populate pre-defined documents with any combination of client or provider details, in an intuitive manner.</t>
  </si>
  <si>
    <t>The system must support mail merge/form letter documents to be electronically associated with a client or provider record.</t>
  </si>
  <si>
    <t>The system must provide full featured support for ad-hoc reporting functionality across the complete dataset for appropriate users based on role-based access.</t>
  </si>
  <si>
    <t>The system must support tracking and allocating system resource utilization (storage allocation and usage, number of users/licenses, etc.) cost by the MDHS program (SNAP, TANF, etc.). This information will be used to generate cost allocation reports for reimbursement of system operation costs from the Federal and/or State agencies administering these programs.</t>
  </si>
  <si>
    <t>The system must ensure the validity of data entered into the system and generate error/edit reports.</t>
  </si>
  <si>
    <t>The system must provide a real-time dashboard with graphical representation of system functions/information.</t>
  </si>
  <si>
    <t>The system must provide an interactive dashboard display for all levels of staff, supervisors, managers and executives, that are easily configurable/ customizable dashboards based on user roles/profiles and functions.</t>
  </si>
  <si>
    <t>The system must be compatible with future enterprise data repository standards.</t>
  </si>
  <si>
    <t>The system must provide a data warehouse solution.</t>
  </si>
  <si>
    <t>The system must support access to all data tables via a dedicated, separate, data warehouse solution (including 3rd party solutions).</t>
  </si>
  <si>
    <t>The system must provide all production data at a scheduled frequency from multiple data sources to support reporting, data clean-up, data mining, pattern recognition, and machine learning (including interoperability with machine learning languages/platforms such as Python, AzureML, AWS, Snowflake, etc.).</t>
  </si>
  <si>
    <t>The system must have reporting capabilities that support the creation of scheduled and ad hoc reports.</t>
  </si>
  <si>
    <t>The system must provide forecasting capability.</t>
  </si>
  <si>
    <t>The system must provide a consolidated view of key business data.</t>
  </si>
  <si>
    <t>The system must allow multiple simultaneous users to create and run, in near real-time, ad hoc and canned reports, without going through a formal change control process.</t>
  </si>
  <si>
    <t>The system must export detail and summarize data in the system and as well as generated reports to at a minimum the following formats: csv,.pdf,.doc,.txt, .xlsx, and xml formatted file.</t>
  </si>
  <si>
    <t>The system's servers and devices used to host applications must meet ITS requirements, ensuring proper coverage for currently supported and hardened operating systems.</t>
  </si>
  <si>
    <t>Security</t>
  </si>
  <si>
    <t>The system's servers and devices used to host applications must meet ITS requirements, ensuring proper coverage for latest anti-viral utilities.</t>
  </si>
  <si>
    <t>The system's servers and devices used to host applications must meet ITS requirements, ensuring proper coverage for latest anti-hacker utilities.</t>
  </si>
  <si>
    <t>The system's servers and devices used to host applications must meet ITS requirements, ensuring proper coverage for latest anti-spam utilities.</t>
  </si>
  <si>
    <t>The system's servers and devices used to host applications must meet ITS requirements, ensuring proper coverage for latest anti-adware utilities.</t>
  </si>
  <si>
    <t>The system's servers and devices used to host applications must meet ITS requirements, ensuring proper coverage for latest anti-spyware utilities.</t>
  </si>
  <si>
    <t>The system's servers and devices used to host applications must meet ITS requirements, ensuring proper coverage for latest anti-malware utilities.</t>
  </si>
  <si>
    <t>The system's hosting environment must have aggressive intrusion-detection and firewall protection.</t>
  </si>
  <si>
    <t>The system must securely exchange data using only secure protocols. Examples include, but not limited to: HTTPS, SFTP, FTPS, and direct connection.</t>
  </si>
  <si>
    <t>The system must support protection of confidentiality of all Protected Health Information (PHI) delivered over the Internet or other known open networks via encryption using Advanced Encryption Standard (AES) and an open protocol such as Transport Layer Security (TLS), Secure Sockets Layer (SSL), Internet Protocol Security (IPsec), XML encryptions, or Secure/Multipurpose Internet Mail Extensions (S/MIME) or their successors. The system will be subject to external Audit checks.</t>
  </si>
  <si>
    <t>The system must protect PII and PHI data according to industry, State, and Federal standards.</t>
  </si>
  <si>
    <t>The system must not transmit or store any PHI/PII using publicly available storage over the Internet or any wireless communication device, unless: 1) the PII is "de-identified" in accordance with 45 C.F.R § 164.514(b) (2); or 2) encrypted in accordance with applicable law, including the American Recovery and Reinvestment Act of 2009 and as required by policies and procedures established by MDHS.</t>
  </si>
  <si>
    <t>The system's data center must be certified under FedRAMP Moderate Guidelines (commercial and Government cloud).</t>
  </si>
  <si>
    <t>The system must meet and comply with all current Federal and State security and privacy policies as designated by the MDHS.</t>
  </si>
  <si>
    <t>The system must have best practice and industry standards controls in place to prevent unauthorized access to application, program, or object source code.</t>
  </si>
  <si>
    <t>The system must be implemented and maintained with appropriate administrative, technical, and organizational security measures to safeguard against unauthorized access, disclosure, or theft of data.</t>
  </si>
  <si>
    <t>The system must support identify federation standards (e.g., SAML, SPML, WS-Federation) as a means of authenticating and authorizing users.</t>
  </si>
  <si>
    <t>The system must support encryption at-rest as defined in IRS 1075.</t>
  </si>
  <si>
    <t>The system must support Encryption in-motion using TLS1.2, 128-bit block ciphers, or stronger preferred.</t>
  </si>
  <si>
    <t>The system vendor cloud environment must provide yearly SOC 2/SOC 3 and FedRAMP Moderate certification.</t>
  </si>
  <si>
    <t>The system vendor must provide vulnerability scans on a weekly basis.</t>
  </si>
  <si>
    <t>The system must use TLS 1.2 or higher and FIPS 140-2 for all connections.</t>
  </si>
  <si>
    <t>The system vendor must not provide third party access to data, (e.g., e-mail addresses).</t>
  </si>
  <si>
    <t>The system must continually mitigate OWASP's top 10 security vulnerabilities and comply with metrics provided by the Common Vulnerability Scoring System (CVSS) and National Vulnerability Database (NVD)</t>
  </si>
  <si>
    <t>The system must support secure RBAC for all system functions.</t>
  </si>
  <si>
    <t>The system must allow system administrators to create and manage user accounts. User accounts must include: user full name, user ID, user phone number, user location(s), user active status, and associated role(s).</t>
  </si>
  <si>
    <t>The system must allow system administrators to assign status and permissions to user accounts.</t>
  </si>
  <si>
    <t>The system must grant (and limit access) to clients, service providers, external users, and authorized representatives to view/update information, based on user role, and access rights.</t>
  </si>
  <si>
    <t>The system must assign a client/provider user the proper access role(s) and create a username and support client and provider self-registration (e.g., temporary password, email verification).</t>
  </si>
  <si>
    <t>System administrators, based on RBAC, will be able to create, manage, and disable portal access.</t>
  </si>
  <si>
    <t>The system must allow system administrators to create and manage user roles.</t>
  </si>
  <si>
    <t>The system must allow system administrators to name user roles.</t>
  </si>
  <si>
    <t>The system must allow system administrators to assign multiple users to user roles.</t>
  </si>
  <si>
    <t>The system must allow system administrators to assign multiple user roles to users.</t>
  </si>
  <si>
    <t>The system must restrict access at all levels of system user roles. Examples include, but not limited to: database field level, application page level, application feature level, report level, and business rule/workflow level.</t>
  </si>
  <si>
    <t>The system must allow system administrators to set view permissions on all levels within an access role.</t>
  </si>
  <si>
    <t>The system must allow system administrators to set create permissions on all levels within an access role.</t>
  </si>
  <si>
    <t>The system must allow system administrators to set delete permissions on all levels within an access role.</t>
  </si>
  <si>
    <t>The system must provide strong (multi-factor) authentication options (e.g., digital certifications, tokens, biometrics) for user access.</t>
  </si>
  <si>
    <t>The system must allow multifactor authentication.</t>
  </si>
  <si>
    <t>The system must require users to log in with passwords that meet MDHS Security policy requirements</t>
  </si>
  <si>
    <t>The system must allow users (including workers and clients) to recover their user name using automated password recovery functionality and email or text confirmation.</t>
  </si>
  <si>
    <t>The system must require periodic password changes for all users.</t>
  </si>
  <si>
    <t>The system must allow users (including workers and clients) to reset their own password using automated password reset functionality and email or text confirmation.</t>
  </si>
  <si>
    <t>The system must allow system administrators to define password and account lockout policies.</t>
  </si>
  <si>
    <t>The system must allow system administrators to unlock passwords on behalf of locked users.</t>
  </si>
  <si>
    <t>The system must automatically assign a randomized, strong password for newly created users, with the user having the ability to change their password upon initial login.</t>
  </si>
  <si>
    <t>The system must warn an active user after a detected period of inactivity based on State business rules and then automatically log the user out after further inactivity.</t>
  </si>
  <si>
    <t>The system must allow system administrators to create accounts for users that do not log in routinely (e.g., users that upload data quarterly) with unique timeout requirements.</t>
  </si>
  <si>
    <t>The system must allow system administrators to create temporary/emergency accounts with a pre-determined expiration date.</t>
  </si>
  <si>
    <t>The system must automatically inactivate dormant accounts after a customizable period of inactivity (e.g., 30 days for temporary or emergency accounts, 90 days for standard accounts).</t>
  </si>
  <si>
    <t>The system must allow system administrators the ability to quickly and completely lock out an individual user or group of users, when applicable.</t>
  </si>
  <si>
    <t>The system must allow for administrators to disable user accounts, but to retain records of the user accounts for historical purposes.</t>
  </si>
  <si>
    <t>The system must maintain the history of active and inactive periods for each user account.</t>
  </si>
  <si>
    <t>The system user interface must hide data not relevant to the user that is logged in, based on role.</t>
  </si>
  <si>
    <t>"</t>
  </si>
  <si>
    <t>The system must provide the capability to monitor events on the system, detect attacks, and provide identification of unauthorized use of the system.</t>
  </si>
  <si>
    <t>The system must provide the capability to identify and report on inappropriate access to information in the system, based on user defined criteria.</t>
  </si>
  <si>
    <t>The system must include fields to allow an appeals worker to enter appeals corrections application data from a court document.</t>
  </si>
  <si>
    <t>The system must capture Benefit Time Limit (Program Level) data for appeals corrections applications to allow the appeals worker to make changes to Benefit Time Limits.</t>
  </si>
  <si>
    <t>The system must capture disqualifications and sanctions data for appeals corrections applications and allow the appeals worker to make changes to any disqualifications and/or sanction information.</t>
  </si>
  <si>
    <t>The system must allow the user to submit an appeal via all available channels.</t>
  </si>
  <si>
    <t>The system must capture the appeal request date.</t>
  </si>
  <si>
    <t>The system must continue benefits while an appeal is pending.</t>
  </si>
  <si>
    <t>The system must stop the continuation of benefits.</t>
  </si>
  <si>
    <t>The system must track the appeal decision date.</t>
  </si>
  <si>
    <t>The system must route appeals to workers with the appropriate skill set for resolution based on configurable business rules.</t>
  </si>
  <si>
    <t>The system must allow the authorized user to withdraw an appeal via all available channels.</t>
  </si>
  <si>
    <t>The system must allow clients to request to receive benefits while waiting for the outcome of the appeal.</t>
  </si>
  <si>
    <t>The system must issue a warning that the benefits may need to be repaid for clients who continue to receive benefits while waiting for an outcome of an appeal.</t>
  </si>
  <si>
    <t>The system must generate an alert to the case worker when a TANF referral for Child Care services is received.</t>
  </si>
  <si>
    <t>The system must receive TANF referrals for Child Care services as indicated on the TANF Employment Plan.</t>
  </si>
  <si>
    <t>The system must align renewal dates to synchronize renewals/reviews for multiple programs as allowed by Federal and/or State business rules.</t>
  </si>
  <si>
    <t>The system must support the process for documenting and approving all reason(s) for Child Care including, but not limited to: working, going to school, self-employment, medical condition, and court order received.</t>
  </si>
  <si>
    <t>The system must identify the additional daily Child Care charges that will be charged by the provider to the family over and above the contracted MDHS reimbursement rate.</t>
  </si>
  <si>
    <t>The system must apply authorized offsets/recoupments to calculated benefit amounts and contracted service payments.</t>
  </si>
  <si>
    <t>The system must allow clients to be prioritized to receive services according to program business rules (e.g., age, medical conditions).</t>
  </si>
  <si>
    <t>The system must identify the application's point of entry (e.g., paper, online).</t>
  </si>
  <si>
    <t>The system must allow a client to submit applications online via a web portal.</t>
  </si>
  <si>
    <t>The system must provide a client the option to request assistance via web chat when completing an application through the web portal.</t>
  </si>
  <si>
    <t>The system must allow an authorized representative to submit an application on a client's behalf.</t>
  </si>
  <si>
    <t>The system must allow application data to be entered manually by workers when clients submit a paper application via mail, fax, in person, or via a call center.</t>
  </si>
  <si>
    <t>The system must provide a separate application data entry workflow for workers to accommodate timely completion of the client's application workflow.</t>
  </si>
  <si>
    <t>The system's online application must support intelligent queuing of questions using prior responses from a client.</t>
  </si>
  <si>
    <t>The system's online application must guide clients through a workflow process to capture application data.</t>
  </si>
  <si>
    <t>The system must suggest other services the client may qualify to receive during the application process.</t>
  </si>
  <si>
    <t>The system must have an address certification process that guides users in accepting certified addresses instead of overriding them.</t>
  </si>
  <si>
    <t>The system must only present questions and request data associated to the programs being requested.</t>
  </si>
  <si>
    <t>The system must auto-populate an application in real-time with information from the most recently submitted application and allow for confirmation of auto-populated data.</t>
  </si>
  <si>
    <t>The system must auto-populate all information captured within an application into appropriate screens within the system.</t>
  </si>
  <si>
    <t>The system must track receipt of electronic submission(s) of applications.</t>
  </si>
  <si>
    <t>The system must generate and assign a unique application identifying number.</t>
  </si>
  <si>
    <t>The system must allow clients to cancel an application for each program that has not yet been submitted, and remove the application for that program from the system.</t>
  </si>
  <si>
    <t>The system must allow clients and users to withdraw an application after it has been submitted based on programmatic rules.</t>
  </si>
  <si>
    <t>The system must purge incomplete applications after program specific expiration timeframes are exceeded.</t>
  </si>
  <si>
    <t>The system must electronically capture and store all data necessary to support application processing according to Federal and/or State business rules and Mississippi-approved application(s).</t>
  </si>
  <si>
    <t>The system must not require that all fields be collected for household members not applying for benefits (examples include SSN and immigration status).</t>
  </si>
  <si>
    <t>The system must capture all necessary information (e.g., household size, income, resources, etc.) to determine eligibility for the programs requested by the client.</t>
  </si>
  <si>
    <t>The system must allow clients to apply for programs (e.g., DSNAP) when special application periods have been implemented (e.g., federally approved natural disaster).</t>
  </si>
  <si>
    <t>The system must present application questions to determine disability status.</t>
  </si>
  <si>
    <t>The system must capture earnings information for non-budget group members (e.g., client's parent, step-parent, or spouse).</t>
  </si>
  <si>
    <t>The system must allow questions to be displayed to collect reasons why an authorized representative may need to be removed at any point during the application process.</t>
  </si>
  <si>
    <t>The system must capture the type of interview, such as person, phone, web chat, or videoconference.</t>
  </si>
  <si>
    <t>SNAP,SNAP E&amp;T,TANF,TANF,CSE</t>
  </si>
  <si>
    <t>The system must capture the date of interview.</t>
  </si>
  <si>
    <t>The system must allow for manual entry of information captured during interviews.</t>
  </si>
  <si>
    <t>The system must display MDHS' most up-to-date non-discrimination statement as part of the application process.</t>
  </si>
  <si>
    <t>The system must display confidentiality statements and privacy protections across all programs and according to privacy regulations during the application process.</t>
  </si>
  <si>
    <t>The system must display client rights and declarations and accept acknowledgement prior to application submission.</t>
  </si>
  <si>
    <t>The system must record clients' acknowledgment of their rights, responsibilities, and consequences and/or results of their decisions for participation in each work activity or receipt of any benefit or service offered.</t>
  </si>
  <si>
    <t>The system must handle voluntary quit or reduction in work hours.</t>
  </si>
  <si>
    <t>The system must auto-assign a case status (e.g., Active, Pending, Closed, Denied) based on program rules.</t>
  </si>
  <si>
    <t>The system must allow authorized workers to manually assign the status of a case based on programmatic business rules.</t>
  </si>
  <si>
    <t>The system must allow workers to change an application to a pending status for multiple months.</t>
  </si>
  <si>
    <t>The system must allow authorized workers to override the status of a case.</t>
  </si>
  <si>
    <t>The system must allow workers to revert a status back to pending on the same day the change occurred to prevent the issuance from being sent to the EBT Vendor.</t>
  </si>
  <si>
    <t>The system must allow for the expungement of records earlier than 365 days if there is waiver approval for early expungement of DSNAP and supplemental benefits.</t>
  </si>
  <si>
    <t>The system must maintain an audit trail for all case, QC, and performance data.</t>
  </si>
  <si>
    <t>The system must include multiple dashboards specific to individual roles that allow for drill down capabilities to the specific case or person level.</t>
  </si>
  <si>
    <t>The system must provide case management reports (as identified by MDHS).</t>
  </si>
  <si>
    <t>The system must update and maintain in the case record all information, facts, events, transactions, and documents necessary to describe a case and all actions taken in a case.</t>
  </si>
  <si>
    <t>The system must accept entry of information on actions taken outside of the system by including, but not limited to: the identity of the individual taking action and the date the action is taken.</t>
  </si>
  <si>
    <t>The system must annotate in the case record actions taken as a result of work lists and provide a complete historical record of activities related to the case and update workflows to ensure the case is processed according to Federal and/or State guidelines.</t>
  </si>
  <si>
    <t>The system must accept and maintain information on non-IV-D orders for inclusion with IV-D cases in the State Case Registry for transmission to the Federal Case Registry (FCR).</t>
  </si>
  <si>
    <t>The system must accept updates to the mandatory data elements for non-IV-D cases.</t>
  </si>
  <si>
    <t>The system must accept requests for deletions of non IV-D orders.</t>
  </si>
  <si>
    <t>The system must accurately report the number of non IV-D cases without duplication or inclusion of cases that do not meet non IV-D criteria.</t>
  </si>
  <si>
    <t>If the state elects to provide for paternity only limited services for non-IV-A cases in an intrastate case, the system must accept, maintain, and process information.</t>
  </si>
  <si>
    <t>The system must provide event codes, preformatted narrative entries, or other means in the case record to identify telephone calls, visits, and other actions taken outside of the system.</t>
  </si>
  <si>
    <t>In instances where system user action is necessary, the system must provide a tickler, based on internal rules, for every timeframe to remind the case worker that action must be taken within the prescribed timeframe. The tickler must alert the user sufficiently in advance of the timeframe due date, so that action can be taken before the time limit expires.</t>
  </si>
  <si>
    <t>The system must initiate locate immediately when new information is received and on a quarterly basis (including the recycling of cases not located).</t>
  </si>
  <si>
    <t>The system must notify the case worker of establishment of paternity If not previously acknowledged by custodial parent (CP)/NCP.</t>
  </si>
  <si>
    <t>The system must notify the case worker of the establishment of support obligations.</t>
  </si>
  <si>
    <t>The system must notify the case worker of review and adjustment of support obligations.</t>
  </si>
  <si>
    <t>The system must notify the case worker of enforcement actions, including income withholding, lump-sum payments, etc.</t>
  </si>
  <si>
    <t>The system must notify the case worker of case closure.</t>
  </si>
  <si>
    <t>The system must, in cases where the case worker has multiple options, notify the case worker of the action needed and identify any default action the system will take in the absence of case worker action.</t>
  </si>
  <si>
    <t>The system must maintain established time limits for editing records on manually initiated actions (i.e., not to exceed the end of the business day during which the data was entered in the system).</t>
  </si>
  <si>
    <t>The system must allow authorized users to edit system-initiated actions for established time limits.</t>
  </si>
  <si>
    <t>The system must perform case monitoring to ensure that case actions are accomplished within required timeframes, following a workflow algorithm included in the system. The system must also track dates to ensure that the timeframes for Federal and/or State required actions are met.</t>
  </si>
  <si>
    <t>The system must provide a separate daily, automated worklist that contains notifications (information only items) that do not require user action.</t>
  </si>
  <si>
    <t>The system must provide dynamic, interactive task lists, unique to users, showing open tasks and tasks requiring action. Upon selecting an item, the user shall be automatically navigated to the appropriate section to complete the task.</t>
  </si>
  <si>
    <t>The system must provide consistent workflow logic to ensure cases automatically move to the next function based on defined business rules.</t>
  </si>
  <si>
    <t>Whenever possible, the system must automatically initiate the next step in case processing using both built-in business rules and workflow rules, without being prompted by the case worker. Examples include, but not limited to: generate documents and notices in paper, if so directed by a users or preference set by the individual, generate documents and notices electronically, according to business rules, refer cases to appropriate automated interfaces with Locate sources, identify and refer cases for FPLS and SPLS submittal, refer initial arrearage amounts to credit bureaus, as well as provide updates to credit bureaus (as needed), and flag cases for potential review and adjustment.</t>
  </si>
  <si>
    <t>The system must provide for automatic recording of events and significant data changes to the case action history.</t>
  </si>
  <si>
    <t>The system must maintain history of all the other State agencies that have been contacted regarding a specific case.</t>
  </si>
  <si>
    <t>The system must update common data elements in all linked case records based on Federal and/or State business rules.</t>
  </si>
  <si>
    <t>The system must provide alerts to case workers prompting worker action within the system.</t>
  </si>
  <si>
    <t>The system must allow users to set an alert on a case and be notified when the alert matures.</t>
  </si>
  <si>
    <t>The system must allow clients to request an appointment with office staff through various applications (e.g., portals, websites, apps, etc.).</t>
  </si>
  <si>
    <t>The system must provide for automatic scheduling for CP and NCP interviews, genetic testing, and hearings. It must provide manual scheduling and revisions with the automatic generation of appointment notices as needed.</t>
  </si>
  <si>
    <t>The system must maintain an appointment calendar of interviews scheduled, for all applicable staff, and track location of the appointment, parties invited to the appointment, and date and time of the appointment.</t>
  </si>
  <si>
    <t>The system must provide for establishing and maintaining schedules for staff that conduct interviews. The schedule must provide for vacation, illness, and holiday and workday designation and allow for time allocation in units as designated by the program area.</t>
  </si>
  <si>
    <t>The system must maintain a history of addresses, social security numbers, employers, and SSA status for an individual and allow the users to record multiple addresses for an individual, as well as record the social security numbers for an individual.</t>
  </si>
  <si>
    <t>The system must allow for multiple current employers for an individual.</t>
  </si>
  <si>
    <t>The system must maintain identifying information on closed cases, with all case data maintained in an automated format that can be easily retrieved in an automated manner from the archived history file.</t>
  </si>
  <si>
    <t>The system must retain the entire history file of a closed case in an accessible automated manner, based on Federal and/or State requirements, after case closure, or until resolved under any auditable action. If any litigation, claim, negotiation, or other action has started prior to the expiration of the retention period, the records must be maintained in accordance with each program area's record retention rules.</t>
  </si>
  <si>
    <t>The system must allow users to inquire on the online history showing full case history information, with the ability to use multiple selection criteria such as name, case number, social security numbers, alias names, and date ranges.</t>
  </si>
  <si>
    <t>The system must meet all tracking and aging requirements, to monitor completion and payment within 20 calendar days of receipt of a signed and paid application for non-IV-A services.</t>
  </si>
  <si>
    <t>The system must establish a case record.</t>
  </si>
  <si>
    <t>The system must refer the case to the appropriate processing unit (e.g., locate or paternity establishment).</t>
  </si>
  <si>
    <t>The system must notify the case worker of the case.</t>
  </si>
  <si>
    <t>The system must submit the case to Federal Case Registry.</t>
  </si>
  <si>
    <t>The system must provide automated processing of referrals and all required data to and from Temporary Family Assistance, (IV-A), Title XIX, Child Welfare (IV-E), and other intrastate and well as interstate, international, and tribal sources to meet all Federal and/or State requirements.</t>
  </si>
  <si>
    <t>The system must accept, maintain, and exchange the date the referral was received.</t>
  </si>
  <si>
    <t>The system must accept, maintain, and exchange the date program information describing services and fees, rights and responsibilities, and cost recovery and distribution policies was provided.</t>
  </si>
  <si>
    <t>The system must accept, maintain, and exchange all federally required referral information to include, but not limited to: demographic, informational, and program data elements.</t>
  </si>
  <si>
    <t>The system must provide robust tracking of all the steps required to meet Federal and/or State timeframes regarding receipt of a referral including, but not limited to: establishing a case record, referring the case to the appropriate processing unit (e.g., locate or paternity establishment), notifying the case worker of the case, and submitting the case to the Federal Case Registry.</t>
  </si>
  <si>
    <t>The system must provide automatic case setup when case records can be added or updated without user intervention.</t>
  </si>
  <si>
    <t>The system must establish a case record for each program requested or referral based on Federal and/or State business rules.</t>
  </si>
  <si>
    <t>The system must provide a case record with a chronological case history of actions taken, whether manual or automated, and if manual, who took the actions.</t>
  </si>
  <si>
    <t>The system must provide a case record that includes all data to allow the system to effectively monitor required timeframes.</t>
  </si>
  <si>
    <t>The system must automatically assign case types and status based on defined business rules.</t>
  </si>
  <si>
    <t>The system must capture the absent parent, relationship status to each child, and the acknowledged paternity of each child in a case.</t>
  </si>
  <si>
    <t>The system must be able to track families while allowing for the changing circumstances of each case.</t>
  </si>
  <si>
    <t>The system must capture and accept all required case information based on Federal and/or State business rules.</t>
  </si>
  <si>
    <t>The system must capture and maintain identifying information on all individuals associated to a case.</t>
  </si>
  <si>
    <t>The system must, for documents generated, record the type of document generated, the addressee, the notification method and the date sent in the automated case record, as well as, maintain an image associated with the case.</t>
  </si>
  <si>
    <t>The system must automatically alert the assigned worker or case worker within a timeframe based on established state and federal requirements when no response is received.</t>
  </si>
  <si>
    <t>The system must allow the tracking of compliance with program performance standards, by recording the date a case is moved into a specific function in the case record.</t>
  </si>
  <si>
    <t>The system must allow the tracking of compliance with program performance standards, by recording dates and actions taken within the function in the case record.</t>
  </si>
  <si>
    <t>The system must allow the tracking of compliance with program performance standards, by recording the results of such actions, including appropriate dates, in the case record.</t>
  </si>
  <si>
    <t>The system must allow the tracking of compliance with program performance standards, by recording the date of referral to the next appropriate function in the case record.</t>
  </si>
  <si>
    <t>The system must track actions and dates to ensure that all new cases requiring locate services are referred to the locate function (unit) within a timeframe in accordance with State and Federal requirements of the referral or filing of an application for services.</t>
  </si>
  <si>
    <t>The system must track actions and dates to ensure that incoming interstate cases are automatically referred to the State Parent Locator System (SPLS) or the appropriate processing function within 10 working days of receipt.</t>
  </si>
  <si>
    <t>The system must automatically accept and process case updates, based on Federal and/or State business rules, and provide information to other programs on a timely basis.</t>
  </si>
  <si>
    <t>The system must verify, accept, and update case information received from various sources including, but not limited to: automated interfaces, county attorney, county staff, clients, and authorized representatives.</t>
  </si>
  <si>
    <t>The system must include data elements that identify the source of information (or when the source of sensitive information is derived from), with an indicator if the information has been independently verified, and capture the source of the verification.</t>
  </si>
  <si>
    <t>The system must not allow disclosure of information derived from NDNH, FCR, IRS or financial institution data match information (with the exception of NDNH and FCR information to Title IV-A agencies), and it must ensure the information is independently verified before it can be shared with IV-A, IV-E and Title XIX agencies.</t>
  </si>
  <si>
    <t>The system must, at the time of a change, electronically provide updates to IV-A case-related information with all required data on the CP, NCP, and Support Orders.</t>
  </si>
  <si>
    <t>At the time of a change, the system must transmit to the IV-E agency all updates to Foster Care related information, including, but not limited to: information whose source is NDNH or FCR, IRS or FIDM match must be independently verified before being shared with the IV-E agency and if the IV-E agency cannot accept the electronic transfer of information, the system must automatically generate hard copy reports to transmit the information.</t>
  </si>
  <si>
    <t>They system must automatically take action when case roles of the parties change, to ensure that court orders are updated and that the support paid follows the child(ren).</t>
  </si>
  <si>
    <t>The system must automatically flag cases for enforcement action including, but not limited to: tax refund offset, income withholding, unemployment compensation intercept (UCI), and license suspension. Once cases are flagged the system must initiate and take all possible actions, including notifying the appropriate staff member if decisions or manual actions are required.</t>
  </si>
  <si>
    <t>The system must initiate a workflow action so that whenever the IV-D agency is expecting a response from another party (e.g., a locate source or a responding State in an interstate case), automated actions will be completed if directed by business rules or the staff member will be notified.</t>
  </si>
  <si>
    <t>The system must automatically support the review and adjustment of support obligations.</t>
  </si>
  <si>
    <t>The system must identify and submit for review and adjustment cases upon the request of either parent and/or custodian/care-taker or state agency.</t>
  </si>
  <si>
    <t>The system must identify and submit for review and adjustment if the case is active TANF, Foster Care or Medicaid and has support rights assigned to the State, and 36 months (or less, based on State option) have elapsed since either the order was established or the most recent review.</t>
  </si>
  <si>
    <t>The system must identify and submit for review and adjustment cases of incarcerated NCPs (for periods of time).</t>
  </si>
  <si>
    <t>They system must identify and submit for review and adjustment cases with ongoing support orders with an ordered payment of zero upon verification of a current employer.</t>
  </si>
  <si>
    <t>They system must identify and submit for review and adjustment other cases identified by Mississippi as eligible for review.</t>
  </si>
  <si>
    <t>The system must invoke configurable workflows to automate tasks based on program-specific timeframes</t>
  </si>
  <si>
    <t>In the case of a petition for modification, the system must generate a notice of determination that there should be no change in the amount of the child support award.</t>
  </si>
  <si>
    <t>The system must generate at least once every three years a notice to each parent of the right to request a review, and the place and manner in which the request should be made. The initial notice may be included in the order.</t>
  </si>
  <si>
    <t>The system must determine continuing exclusive jurisdiction (CEJ) prior to initiating any review and adjust actions and automatically take the next appropriate action, which may be to notify the staff member of needed action.</t>
  </si>
  <si>
    <t>The system must identify cases in which the order does not include health insurance or medical coverage, and automatically take appropriate next actions or notify the user, if actions are necessary.</t>
  </si>
  <si>
    <t>The system must, for cases in which either parent requests a review, determine if a review is appropriate based on the age of the order, possible significant change in the order amount, or other criteria selected by the MDHS.</t>
  </si>
  <si>
    <t>The system must accept information for non-IV-D orders through manual entry or automated entry.</t>
  </si>
  <si>
    <t>The system must allow, after sending any document requiring a response, collect income, asset, employment, and health insurance information through automated interfaces.</t>
  </si>
  <si>
    <t>The system must allow, after sending any document requiring a response, provide a means for entry and edit of data received (including the input of manually obtained financial information), both from interfaces and financial affidavits received from other sources.</t>
  </si>
  <si>
    <t>The system must allow, after sending any document requiring a response, perform all necessary guideline calculations.</t>
  </si>
  <si>
    <t>The system must allow, after sending any document requiring a response, compare guideline calculation against quantitative standard developed by the State, if any.</t>
  </si>
  <si>
    <t>The system must allow, after sending any document requiring a response, provide all information and calculations to the case worker for determination of whether an adjustment should be pursued.</t>
  </si>
  <si>
    <t>The system must allow, after sending any document requiring a response, generate notices to inform parents and/or caretakers of proposed actions and their right to challenge such actions, and generate any documents necessary to seek an adjustment or handle an appeal of such action.</t>
  </si>
  <si>
    <t>The system must automatically generate a notice to each parent and/or caretaker of all proceedings in which support obligations might be modified.</t>
  </si>
  <si>
    <t>The system must support a supervisory review process where cases cannot be closed and further notices generated until review has been completed.</t>
  </si>
  <si>
    <t>The system must identify cases eligible for case closure under criteria at 45 CFR 303.11(b)(1), (3), (4), (8), (9), &amp; (10). as well as in the Final Rule of January 2017. For cases eligible for case closure, the system must initiate the case closure process, or alert the case worker to review the case, and, if appropriate, initiate case closure.</t>
  </si>
  <si>
    <t>The system must automatically alert workers on case closure disposition.</t>
  </si>
  <si>
    <t>The system must manage for closed cases where the closure reason = failure to locate, AND child(ren) is not emancipated, when locate information is verified for the NCP. In this case, the system must take the next appropriate action (e.g. reopen the case or alert staff member to possible reopen) based on established business rules.</t>
  </si>
  <si>
    <t>The system must manage for closed cases where the closure reason = other identified reason codes, such as incarceration, AND child(ren) is not emancipated, when locate information is verified for the NCP. In this case, the system must take the next appropriate action (e.g. reopen the case or alert staff member to possible reopen) based on established business rules.</t>
  </si>
  <si>
    <t>The system must manage for closed cases where delinquency, arrearages, and/or unreimbursed public assistance is present, when locate information is verified for the NCP. In this case the system must take the next appropriate action (e.g. reopen the case or alert staff member to possible reopen) based on established business rules.</t>
  </si>
  <si>
    <t>The system must monitor interstate case and financial data providing automatic updates to the other states via CSENet.</t>
  </si>
  <si>
    <t>The system must track initiating cases for follow up and automatically generate status inquiries as appropriate.</t>
  </si>
  <si>
    <t>The system must allow manual extension of the application due date in accordance with Federal and/or State regulations.</t>
  </si>
  <si>
    <t>The system must calculate and record required application dates according to Federal and/or State business rules.</t>
  </si>
  <si>
    <t>The system must alert the corresponding case manager when a referral is expiring.</t>
  </si>
  <si>
    <t>The system must provide processing of applications entered manually by users.</t>
  </si>
  <si>
    <t>The system must immediately and accurately search persons and cases to link with existing records.</t>
  </si>
  <si>
    <t>The system must immediately and accurately add person and case records.</t>
  </si>
  <si>
    <t>The system must create new cases when matches are not possible.</t>
  </si>
  <si>
    <t>The system must provide on-line, real-time messaging regarding missing information; including prompt for second NCP entry if application is not the mother or father.</t>
  </si>
  <si>
    <t>The system must automatically generate all correspondence available based on case information, to include introductory and appointment letters, petitions, and wage withholding</t>
  </si>
  <si>
    <t>The system must clearly capture Family Violence data</t>
  </si>
  <si>
    <t>The system must meet all Federal requirements, including but not limited to: the date the application was requested, the date the application and program information describing services and fees, rights and responsibilities, and cost recovery and distribution policies was sent to the applicant, the date the signed application and fee were received.</t>
  </si>
  <si>
    <t>The system must provide automated processing of applications to and from an interactive website, intrastate, interstate, international and tribal sources.</t>
  </si>
  <si>
    <t>The system must use case identifiers and uniquely identify and edit various case types, applying appropriate edits to limit arbitrary entries.</t>
  </si>
  <si>
    <t>When participant roles change, the system must automatically initiate required changes to associated support order, and case account data.</t>
  </si>
  <si>
    <t>The system must accommodate collecting detailed occupation information to allow correct application of guidelines and correct current ability to pay data.</t>
  </si>
  <si>
    <t>The system must automatically determine if a case meets all case criteria (e.g., - no acceptance of alimony only cases, etc.).</t>
  </si>
  <si>
    <t>The system must obtain, record, verify, and maintain all accessible locate information on the NCP and custodial party.</t>
  </si>
  <si>
    <t>The system must record, maintain, and track locate activities to ensure compliance with program standards.</t>
  </si>
  <si>
    <t>The system must automatically submit the case to all appropriate locate sources (whether automated or not), including the transfer of appropriate cases to the FPLS, within a duration in accordance with State and Federal regulations, of determining that locate action is required.</t>
  </si>
  <si>
    <t>The system must track responses from each automated locate source, including verified address information</t>
  </si>
  <si>
    <t>The system must track information from manual locate sources.</t>
  </si>
  <si>
    <t>The system must record and maintain information on positive responses received from locate sources.</t>
  </si>
  <si>
    <t>The system must maintain a minimum of three verified addresses, in addition to the home and mailing addresses.</t>
  </si>
  <si>
    <t>The system must record information on all locate sources accessed.</t>
  </si>
  <si>
    <t>The system must alert the case worker to verify responses received to ensure that sufficient information is available to allow the next appropriate action to be taken.</t>
  </si>
  <si>
    <t>The system must forward cases to the next appropriate function when sufficient information is available.</t>
  </si>
  <si>
    <t>The system must apply locate information to the individual and prompt next case actions on all cases the individual is associated with based on the information received.</t>
  </si>
  <si>
    <t>The system must maintain a table to allow designation of "trusted" locate sources and data that recognize verified data elements, probable data elements, or other designations.</t>
  </si>
  <si>
    <t>The system must capture and store multiple address types for employers, and match incoming data against the employer source data to minimize duplication.</t>
  </si>
  <si>
    <t>The system must automatically resubmit cases to all known locate sources for the individual based on established timeframes and identified next actions.</t>
  </si>
  <si>
    <t>The system must ensure all resubmission timeframes are configurable.</t>
  </si>
  <si>
    <t>The system must maintain history of locate information from all sources, including employer data  that contains verification sources and the date of verification.</t>
  </si>
  <si>
    <t>The system must provide for alternative addresses and support locate efforts.</t>
  </si>
  <si>
    <t>The system must provide an automated daily online report/worklist to each worker or case worker to assist in case management and processing. Examples include, but not limited to: cases requiring review and/or action triggered by case aging (e.g., Federal and State program standards and timeframes) criteria, any required follow-up case reviews and/or actions triggered manually by the case worker, or agency, or automatically by the system, case actions to be automatically acted on by the system, e.g., income withholding, Federal and State tax offset, and cases newly assigned that require case worker review and/or action.</t>
  </si>
  <si>
    <t>The system must maintain an automated case history of all case processing activities to monitor State operations and enable Federal auditors to assess program performance, including a State's ability to meet program standards. This capability must allow for the retention and review of all case actions and activities that occur in or are processed by the system.</t>
  </si>
  <si>
    <t>The system must uniquely identify client authorizations (sent to the EBT system or debit cards) and include (at a minimum), client name, begin date, end date, type of service, authorized units/amount, authorization status etc.</t>
  </si>
  <si>
    <t>The system must associate a child with a provider for an eligibility period.</t>
  </si>
  <si>
    <t>The system must allow fees for services to be waived according to Federal and/or State business rules.</t>
  </si>
  <si>
    <t>The system must allow workers to document the reason fees for services were waived.</t>
  </si>
  <si>
    <t>The system must automatically change the payment rate according to Federal and/or State business rules.</t>
  </si>
  <si>
    <t>The system must capture information about pre-hearing conferences and hearings.</t>
  </si>
  <si>
    <t>The system must notify the appropriate specialist whenever a client or provider requests a hearing.</t>
  </si>
  <si>
    <t>The system must allow for a designation for overnight care.</t>
  </si>
  <si>
    <t>The system must support the process for verifying and documenting satisfactory progress and attendance for parents with an approved job training/education activity according to Federal and/or State business rules.</t>
  </si>
  <si>
    <t>The system must support the granting and tracking of an "improvement period" for students according to Federal and/or State business rules.</t>
  </si>
  <si>
    <t>The system must support the approval and tracking of cessation Child Care according to Federal and/or State business rules.</t>
  </si>
  <si>
    <t>The system must indicate payments referred for collection in the client case and the provider case.</t>
  </si>
  <si>
    <t>The system must calculate one or more types of partial days according to Federal and/or State business rules.</t>
  </si>
  <si>
    <t>The system must convert partial days to full days according to Federal and/or State business rules.</t>
  </si>
  <si>
    <t>The system must deduct the parent fee according to Federal and/or State business rules.</t>
  </si>
  <si>
    <t>The system must calculate the total number of days for payment according to Federal and/or State business rules.</t>
  </si>
  <si>
    <t>The system must allow authorization of services to MDHS contracted providers only based on provider contract requirements.</t>
  </si>
  <si>
    <t>The system must record and track the start and end dates of required participation based on the plan for Child Care referral purposes.</t>
  </si>
  <si>
    <t>The system must generate an application and/or an alert to users to initiate, stop, or amend TANF recipient Child Care services as necessitated by changes in the TANF Employment Plan.</t>
  </si>
  <si>
    <t>The system must allow workers to enter the current status of a referral by the established deadline.</t>
  </si>
  <si>
    <t>The system must generate an alert to appropriate workers when a referral status is changed.</t>
  </si>
  <si>
    <t>The system must allow users, based on role-based access (RBA), to prohibit authorizations to suspended Child Care providers.</t>
  </si>
  <si>
    <t>The system must generate reports of returned EBT cards where cards may not have been received due to incorrect address.</t>
  </si>
  <si>
    <t>The system must require provider billing on a per child basis.</t>
  </si>
  <si>
    <t>The system must capture and maintain the reason for a child's absence.</t>
  </si>
  <si>
    <t>The system must identify provider holidays where a different payment rate may apply.</t>
  </si>
  <si>
    <t>The system must generate online attendance reports for provider or parent.</t>
  </si>
  <si>
    <t>The system must calculate total units based on attendance, and generate payment amount due to provider based on stored vendor rate schedule.</t>
  </si>
  <si>
    <t>The system must use the lowest provider rate to generate payment amount based on number of hours (part-time/full-time).</t>
  </si>
  <si>
    <t>The system must allow for a mass hold to be placed on benefits, i.e., not send them to the EBT vendor for issuance of payments to clients, based on Federal and/or State business rules.</t>
  </si>
  <si>
    <t>The system must resume normal processing of benefit payments after a mass or manual hold is released.</t>
  </si>
  <si>
    <t>The system must update the audit history with all changes that occur to eligibility status and benefit amount(s) as a result of executing a mass change.</t>
  </si>
  <si>
    <t>The system must generate a report following a mass change with the detail and summary data required to meet all Federal and/or State requirements.</t>
  </si>
  <si>
    <t>The system must apply rules for mandatory or optional referrals (including unemployment, VA, SSA, school meals, telephone assistance, other referrals) and include the referral information in the notice.</t>
  </si>
  <si>
    <t>The system must track compliance with requirements to apply for other benefits and comply with interview requirements.</t>
  </si>
  <si>
    <t>The system must allow workers to enter the RFI verification date and whether the information was received timely.</t>
  </si>
  <si>
    <t>The system must retain a history of the application data as it appeared before applying reported changes.</t>
  </si>
  <si>
    <t>The system must capture and display the Report Change Type relevant to each program applied.</t>
  </si>
  <si>
    <t>The system must display a summary of all of the changes that were submitted for each program impacted.</t>
  </si>
  <si>
    <t>The system must allow for future changes to be reported when the based on business rules.</t>
  </si>
  <si>
    <t>The system must allow workers to select how an application and supporting documentation was received when submitting an Initial Application, Change Report Application, or Renewal Application, as defined by programmatic business rules.</t>
  </si>
  <si>
    <t>The system must provide the capability for the worker and the client, according to programmatic business rules, to permanently or temporarily add and remove members from the household without creating a new application.</t>
  </si>
  <si>
    <t>The system must provide the capability to change the primary contact for a case/household. </t>
  </si>
  <si>
    <t>The system must allow eligibility workers to track a reported mid-period change that will not be processed until the periodic report or certification.</t>
  </si>
  <si>
    <t>The system must automatically update the case, recalculate benefits, suspend/terminate the case, and notify the eligibility worker when receiving information from a source considered "verified upon receipt".</t>
  </si>
  <si>
    <t>The system must automatically notify other programs of reported changes and new the benefit amount(s).</t>
  </si>
  <si>
    <t>The system must automatically process other program changes and new grant amounts for SNAP cases.</t>
  </si>
  <si>
    <t>The system must make changes to update income with actual increased amounts of benefits received clients. Examples include, but not limited to: SSA, SSI, TANF, and SNAP.</t>
  </si>
  <si>
    <t>The system can process restorations for a reduced month at a later date, if necessary.</t>
  </si>
  <si>
    <t>The system must apply disqualifications at an individual level.</t>
  </si>
  <si>
    <t>The system must apply disqualifications at a program level.</t>
  </si>
  <si>
    <t>The system must track and store ongoing program compliance, sanctions and disqualifications imposed, and re-compliance after serving sanction and disqualification periods.</t>
  </si>
  <si>
    <t>The system must allow clients to apply for an extension of program eligibility.</t>
  </si>
  <si>
    <t>The system must discontinue the program benefit when a household reaches its time limit and does not qualify for an exemption or extension.</t>
  </si>
  <si>
    <t>The system must support the required steps to be taken upon death of a client and all parties to the case and according to Federal and/or State business rules.</t>
  </si>
  <si>
    <t>The system must capture time limit counters for all benefits issued that specify whether the benefits were countable or not countable towards each program time limit.</t>
  </si>
  <si>
    <t>The system must capture why benefits were countable or not countable towards each program time limit.</t>
  </si>
  <si>
    <t>The system must allow authorized workers to manually update time limit fields with appropriate approvals as required by each program's policies for each program a client is eligible, (e.g., monthly time limit counters, counted reasons codes, not counted (exemption) reason codes, and extension months).</t>
  </si>
  <si>
    <t>The system must apply Federal and/or State business rules to determine whether clients meet the criteria for hardship exemptions from each program time limit.</t>
  </si>
  <si>
    <t>The system must capture the state, date last received, amount, and which members in the budget group received (currently or in the past) benefits in another state.</t>
  </si>
  <si>
    <t>The system must reconcile daily issuance totals to amounts posted and available for clients to spend.</t>
  </si>
  <si>
    <t>The system must use the payment transaction daily history file to track payment transactions (debits and credits) back to each benefit record.</t>
  </si>
  <si>
    <t>The system must determine aged payment accounts according to Federal and/or State business rules and expunge/recover aged benefits from payment accounts.</t>
  </si>
  <si>
    <t>The system must allow workers to request a benefit replacement.</t>
  </si>
  <si>
    <t>The system must ensure that the issuance amounts authorized by the eligibility system are reconciled to those posted in the payment system.</t>
  </si>
  <si>
    <t>The system must issue financial benefits to a card that is issued to EBT or other cardholders.</t>
  </si>
  <si>
    <t>The system must create a daily demographic file for cases that have demographic fields (address, city, state, zip) changed from the post back file interface and send the daily demographic file to the EBT vendor.</t>
  </si>
  <si>
    <t>The system must produce a batch of record updates to produce an EBT file for the EBT vendor.</t>
  </si>
  <si>
    <t>The system must capture information needed to determine work program exemptions for SNAP and TANF, as well as information required to refer clients to work programs.</t>
  </si>
  <si>
    <t>The system must calculate the potential eligibility of clients by screening for all programs a client selects to be screened for according to Federal and/or State business rules.</t>
  </si>
  <si>
    <t>The system must allow the user to document the activity schedule of the parent.</t>
  </si>
  <si>
    <t>The system must track approved job search time.</t>
  </si>
  <si>
    <t>The system must allow clients to see their position on wait lists.</t>
  </si>
  <si>
    <t>The system must allow clients to select to be screened for one or more programs when submitting an application.</t>
  </si>
  <si>
    <t>The system must automatically determine the potential eligibility for all program benefits based on basic information received from clients.</t>
  </si>
  <si>
    <t>The system must track reasons for untimely actions/events and prompt workers for any required case notes.</t>
  </si>
  <si>
    <t>The system must show client benefit history-such as benefit type, status, date, benefit month/amount, benefit available date, and sanctions imposed percentage as determined by program business rules.</t>
  </si>
  <si>
    <t>The system must provide the option to view a configurable number of years of benefit history per program.</t>
  </si>
  <si>
    <t>The system must display overpayments and recoveries for applicable benefit types with the other benefit history.</t>
  </si>
  <si>
    <t>The system must display eligibility results that show whether the household and individuals pass or fail the criteria for every eligibility factors (e.g., income, residency, citizenship status, age, household content, employment).</t>
  </si>
  <si>
    <t>The system must retain and display eligibility and enrollment history by individual.</t>
  </si>
  <si>
    <t>The system must automatically determine when overpayments have occurred or when supplements need to be issued according to Federal and/or State business rules.</t>
  </si>
  <si>
    <t>The system must apply Federal and/or State business rules to detect a supplement and provide supplements to clients.</t>
  </si>
  <si>
    <t>The system must support automatic issuance of supplemental benefits during a Disaster Benefit Period.</t>
  </si>
  <si>
    <t>The system must allow workers to make corrections to data elements for prior months.</t>
  </si>
  <si>
    <t>The system must allow workers to modify all eligibility factors for each month for all correction modes (overpayments, supplements, appeals) for each household member.</t>
  </si>
  <si>
    <t>The system must allow workers to enter application corrections for a specified timeframe.</t>
  </si>
  <si>
    <t>The system must generate all necessary verification factor(s) for each month in which a potential overpayment and/or supplement is identified.</t>
  </si>
  <si>
    <t>The system must capture additional overpayment questions entered by workers to assist in determining whether the overpayment is agency or client caused.</t>
  </si>
  <si>
    <t>The system must have a new overpayment tracking page that captures the details of all potential overpayments from the date of discovery to the claim establishment date.</t>
  </si>
  <si>
    <t>The system must allow workers to continue to make changes to the overpayment tracking page and the overpayment report regardless of application status (e.g., pending/approved/denied/discontinued).</t>
  </si>
  <si>
    <t>The system must apply Federal and/or State business rules to detect an overpayment, track overpayment referrals, receive overpayment claim information, and support recoupment of benefits.</t>
  </si>
  <si>
    <t>The system must allow an overpayment writer to determine the accurate benefit calculation according to Federal and/or State business rules at the time of initial benefit calculation compared to what was actually paid to determine the difference (i.e., the overpaid amount), without impacting the payment of the benefit or overwriting the budget.</t>
  </si>
  <si>
    <t>The system must calculate the claim amount.</t>
  </si>
  <si>
    <t>The system must identify the claim amount.</t>
  </si>
  <si>
    <t>The system must identify and allow for modification of the claim type.</t>
  </si>
  <si>
    <t>The system must have the capability to determine correct allotment reduction percentage per claim type.</t>
  </si>
  <si>
    <t>The system must have the capability to identify retention percentages based on claim type.</t>
  </si>
  <si>
    <t>The system must disallow earned income deduction when IPV.</t>
  </si>
  <si>
    <t>The system must calculate the pro rate share of the payment collected for each program when the debtor does not specify to which program to apply the collection.</t>
  </si>
  <si>
    <t>The system must allow for the suspension or termination of claims either manually or automatically under certain circumstances.</t>
  </si>
  <si>
    <t>The system must track the date of any changes to claim type.</t>
  </si>
  <si>
    <t>The system must determine the recoupment rate (minimum amount).</t>
  </si>
  <si>
    <t>The system must track and calculate the amount recouped to date.</t>
  </si>
  <si>
    <t>The system must offset claims against restoration amounts.</t>
  </si>
  <si>
    <t>The system must calculate the outstanding claim balance.</t>
  </si>
  <si>
    <t>The system must automatically apply expunged benefits to the correctly prioritized outstanding claim(s).</t>
  </si>
  <si>
    <t>The system must allow cases to be placed on hold for recoupment and/or collection, pending a fair hearing decision.</t>
  </si>
  <si>
    <t>The system must retain all data entered into an application via a mobile device, regardless if the application process is completed.</t>
  </si>
  <si>
    <t>The system must allow business rules that direct how the FCR impacts interstate cases.</t>
  </si>
  <si>
    <t>The system must track attendance and calculate payments to provider based on attendance (whether rates are based on attendance or enrollment).</t>
  </si>
  <si>
    <t>The system must allow authorized workers to retroactively correct data that is used to determine whether the status of the month is countable or not countable and redisposition the prior month in accordance with programmatic business rules.</t>
  </si>
  <si>
    <t>The system must allow for each benefit record to identify the month for which the benefit is issued.</t>
  </si>
  <si>
    <t>The system must identify initial benefits issuance.</t>
  </si>
  <si>
    <t>The system must identify regular benefits issuance.</t>
  </si>
  <si>
    <t>The system must identify supplemental benefits issuance.</t>
  </si>
  <si>
    <t>The system must identify renewal benefit issuance.</t>
  </si>
  <si>
    <t>The system must identify replacement benefits issuance.</t>
  </si>
  <si>
    <t>The system must identify mass replacement benefits issuance.</t>
  </si>
  <si>
    <t>The system must identify DSNAP benefits issuance.</t>
  </si>
  <si>
    <t>The system must identify restoration of lost benefits issuance.</t>
  </si>
  <si>
    <t>The system must allow for the restoration of lost benefits.</t>
  </si>
  <si>
    <t>The system must capture the benefits restoration determination date.</t>
  </si>
  <si>
    <t>The system must capture the date received for a household request for benefit restoration.</t>
  </si>
  <si>
    <t>The system must capture the date that the estate discovered a loss of benefit had occurred.</t>
  </si>
  <si>
    <t>The system must capture the date of the fair hearing benefit restoration determination date.</t>
  </si>
  <si>
    <t>The system must calculate the benefit restoration amount.</t>
  </si>
  <si>
    <t>The system must identify restoration amounts within the benefit history.</t>
  </si>
  <si>
    <t>The system must designate the month(s) for which the benefit is restored.</t>
  </si>
  <si>
    <t>The system must issue retroactive/restored benefits.</t>
  </si>
  <si>
    <t>The system must offset restoration against pending household claim amounts.</t>
  </si>
  <si>
    <t>The system must allow for currently ineligible households to receive restoration amounts.</t>
  </si>
  <si>
    <t>The system must edit restoration benefits so none are restored for a period based on Federal and State rules</t>
  </si>
  <si>
    <t>The system must track the reason why benefits were restored.</t>
  </si>
  <si>
    <t>The system must differentiate between the month of availability and month for which the benefit amount is issued in cases of restored and retroactive benefits.</t>
  </si>
  <si>
    <t>The system must have edits that prevent duplicate benefit issuances.</t>
  </si>
  <si>
    <t>The system must determine and authorize the issuance of combined allotments.</t>
  </si>
  <si>
    <t>The system must calculate retroactive benefits to the month/date of application.</t>
  </si>
  <si>
    <t>The system must allow authorized workers to override eligibility results and enrollment period, and align enrollment periods across programs.</t>
  </si>
  <si>
    <t>The system must route applications that require authorization of supplement benefits to a management work queue for benefit approval.</t>
  </si>
  <si>
    <t>The system must allow workers to replace benefits for Federal disaster or individual disaster.</t>
  </si>
  <si>
    <t>The system must allow workers to complete an overpayment referral.</t>
  </si>
  <si>
    <t>The system must capture the program benefits determination data including, but not limited to: the date the household was determined eligible for benefits and the certification period.</t>
  </si>
  <si>
    <t>The system must provide the capability to add, remove, or update EBT alternate card holders.</t>
  </si>
  <si>
    <t>The system must route cases that require authorization of supplement benefits to a management work queue for benefit approval.</t>
  </si>
  <si>
    <t>The system must allow workers to send emergency benefit records to the EBT vendor online in real-time.</t>
  </si>
  <si>
    <t>The system must allow workers to send benefit cancellations (prior to date of availability) to the EBT vendor online real-time.</t>
  </si>
  <si>
    <t>The system must allow the type of reporting that households must adhere to (simplified reporting households and change reporting households).</t>
  </si>
  <si>
    <t>The system must terminate benefits based on Federal and/or State business rules.</t>
  </si>
  <si>
    <t>The system must change the status of the EBT card for all EBT card holders in the budget group when it is reported and verified that all persons in the budget group have died.</t>
  </si>
  <si>
    <t>The system must recognize when changes cause discontinuance at the program level and discontinue benefits, application, and/or recertification.</t>
  </si>
  <si>
    <t>The system must issue DSNAP benefits according to Federal and/or State business rules.</t>
  </si>
  <si>
    <t>The system must assign the budget group a DSNAP Approval Period which coincides with the Disaster Benefit Period as established by FNS, regardless of the date of application.</t>
  </si>
  <si>
    <t>The system must prevent a DSNAP budget group from receiving more than one allotment in any Disaster Benefit Period. The system must screen all household members for duplicate participation in the following: DSNAP and SNAP, multiple disasters with overlapping Disaster Benefit Periods, and approved DSNAP and denied DSNAP clients, to identify attempted duplicate participation.</t>
  </si>
  <si>
    <t>The system must expunge SNAP and DSNAP benefits when the benefits are inactive for over 365 days.</t>
  </si>
  <si>
    <t>The system must automatically issue emergency benefits without worker intervention based on Federal and/or State business rules.</t>
  </si>
  <si>
    <t>The system must automatically send EBT card for an approved client, if no active EBT card exists.</t>
  </si>
  <si>
    <t>The system must allow workers to issue replacement EBT cards for Primary and Alternate EBT Card Holders.</t>
  </si>
  <si>
    <t>The system must display the most current status of EBT cards for Primary and Alternate EBT Card Holders, and allow workers to update the status.</t>
  </si>
  <si>
    <t>The system must allow workers to assign a security code for a Primary and Alternate EBT Card Holder to prevent their account information from being compromised.</t>
  </si>
  <si>
    <t>The system must produce job processing control reports for each of the Benefit Issuance jobs.</t>
  </si>
  <si>
    <t>The system must update the Account Code Benefit Type according to Federal and/or State business rules.</t>
  </si>
  <si>
    <t>The system must update the ABAWD Benefit Counter for each of the clients who were part of the benefit disposition for each of the benefit records being paid, according to Federal and/or State business rules.</t>
  </si>
  <si>
    <t>SNAP,SNAP E&amp;T</t>
  </si>
  <si>
    <t>The system must track the "3 in 36" countable months of participation for ABAWDS.</t>
  </si>
  <si>
    <t>The system must maintain the prior 36-month clock when starting the new 36-month clock for ABAWD and allow workers view-only access.</t>
  </si>
  <si>
    <t>The system must track additional three months of eligibility after the first 3 in 36 months are used for ABAWDS.</t>
  </si>
  <si>
    <t>The system must track exempt areas of the state (areas covered by waivers) for ABAWDS work requirements.</t>
  </si>
  <si>
    <t>The system must capture the reasons for exemptions from the ABAWD work requirement.</t>
  </si>
  <si>
    <t>The system must track partial exemptions for the ABAWD work requirement (i.e.,15%). This includes each month an ABAWD is assigned an exemption and the total number of exemptions used Statewide each quarter.</t>
  </si>
  <si>
    <t>The system must accommodate fixed or rolling 36-month period of eligibility for ABAWD.</t>
  </si>
  <si>
    <t>The system must track failures to comply with E&amp;T for ABAWD.</t>
  </si>
  <si>
    <t>The system must track 100% Federal funds spending for ABAWD.</t>
  </si>
  <si>
    <t>The system must track 50% Federal funds spending for ABAWD.</t>
  </si>
  <si>
    <t>The system must capture the reason for disqualification/ineligibility for students.</t>
  </si>
  <si>
    <t>The system must capture all exemption categories allowing students to be eligible.</t>
  </si>
  <si>
    <t>The system must establish student eligibility considering work status.</t>
  </si>
  <si>
    <t>The system must address student eligibility based on school attendance.</t>
  </si>
  <si>
    <t>SNAP,SNAP E&amp;T,TANF</t>
  </si>
  <si>
    <t>The system must calculate student income and deductions for educational expenses.</t>
  </si>
  <si>
    <t>The system must account for the State option to average student work hours monthly, if applicable.</t>
  </si>
  <si>
    <t>The system must capture the student status including the level of education, school name, school address, school phone number, type of school, enrollment status, and expected graduation date for any budgetary unit members who are attending school.</t>
  </si>
  <si>
    <t>The system must divide the benefit allotment between the facility and recipient in the month the recipient leaves the facility.</t>
  </si>
  <si>
    <t>The system must allow a second issuance in the same month to battered women/children shelter residents.</t>
  </si>
  <si>
    <t>The system must identify cases permitted to use benefits at restaurants and/or homeless meal providers.</t>
  </si>
  <si>
    <t>The system must authorize monthly payments of benefits based on Federal and/or State business rules.</t>
  </si>
  <si>
    <t>The system must allow for mass replacement of benefits during a Disaster Benefit Period</t>
  </si>
  <si>
    <t>The system must allow for mass changes to cases based on updates to the SNAP Thrifty Food Plan received from FNS.</t>
  </si>
  <si>
    <t>The system must allow for mass changes based on Federal and/or State FPL/Income Standards.</t>
  </si>
  <si>
    <t>The system must allow for mass changes as a result of legislative or regulatory changes</t>
  </si>
  <si>
    <t>The system must allow for emergency mass changes when there are policy changes or benefit corrections required.</t>
  </si>
  <si>
    <t>The system must use the SVES batch process for the annual SSA COLA mass change process.</t>
  </si>
  <si>
    <t>The system must initiate SSA COLA mass change with the updated SSA/SSI benefit amount from SVES for the population sent.</t>
  </si>
  <si>
    <t>The system must update the eligibility history and other relevant data, including budget worksheets, with the income type and amount used for from SSA.</t>
  </si>
  <si>
    <t>The system must run SNAP Thrifty Food Plan process on an annual basis, with the changes effective from the month of October of each year.</t>
  </si>
  <si>
    <t>The system must not apply SSA COLAs until the FPL changes are implemented according to Federal and/or State business rules.</t>
  </si>
  <si>
    <t>The system must allow clients to submit renewal information through multiple channels. Examples include, but not limited to: telephone IVR, worker entry of a paper or an electronic change report, paper form submitted via fax or standard USPS mail, and online.</t>
  </si>
  <si>
    <t>The system must automatically create a renewal application and application ID.</t>
  </si>
  <si>
    <t>The system must capture the renewal interview date and associated application data changes.</t>
  </si>
  <si>
    <t>The system must issue renewal notices for all programs based on the timeframes established by Federal and/or State business rules.</t>
  </si>
  <si>
    <t>The system must support pre-population of renewal applications with all relevant existing information.</t>
  </si>
  <si>
    <t>The system must follow the application process procedure for renewal applications.</t>
  </si>
  <si>
    <t>The system must allow changes to be reported, according to program rules, by clients, workers, Community Assistors, and authorized representatives, and be reflected within the status of the case. Examples include, but not limited to: address (including moving out-of-state), household size, income, and tax filing.</t>
  </si>
  <si>
    <t>The system must allow for eligibility and benefit changes to be made without major modifications to the system or duplication in household cases.</t>
  </si>
  <si>
    <t>The system must track client compliance with a Mid Approval notice request.</t>
  </si>
  <si>
    <t>The system must allow workers to manually enter confirmation of pre-compliance.</t>
  </si>
  <si>
    <t>The system must be able to report check-in/out times by parent and by provider.</t>
  </si>
  <si>
    <t>The system must allow workers to conduct assessments to evaluate appropriate program participation and services.</t>
  </si>
  <si>
    <t>SNAP E&amp;T,TANF,TANF</t>
  </si>
  <si>
    <t>The system must provide assessment tools for screening and evaluation.</t>
  </si>
  <si>
    <t>The system must allow authorized users to create new assessments.</t>
  </si>
  <si>
    <t>The system must allow authorized users to make updates (i.e., add questions, change the order in which questions are presented) to existing assessment based Federal and/or State business rules.</t>
  </si>
  <si>
    <t>SNAP E&amp;T,TANF</t>
  </si>
  <si>
    <t>The system must allow workers to develop service plans based on the client's needs and goals.</t>
  </si>
  <si>
    <t>The system must allow workers to document activities and progress towards goals in a client's service plan.</t>
  </si>
  <si>
    <t>The system must allow workers to authorize services for payment based on Federal and/or State business rules.</t>
  </si>
  <si>
    <t>The system must allow workers to create and send referrals to service providers and/or partners.</t>
  </si>
  <si>
    <t>The system must generate a summary of evidence whenever a fair hearing is requested.</t>
  </si>
  <si>
    <t>The system must allow creation and tracking of work program requirements to maintain TANF eligibility</t>
  </si>
  <si>
    <t>The system must calculate FLSA hours and required number of hours to meet work program requirements</t>
  </si>
  <si>
    <t>The system must be able to capture and calculate the number of hours of work performed to meet the monthly requirement.</t>
  </si>
  <si>
    <t>The system must generate client referrals to other state agencies when participation is required.</t>
  </si>
  <si>
    <t>The system must record drug test requirement and results.</t>
  </si>
  <si>
    <t>The system must allow purchase and payment of work or school related items from approved vendors.</t>
  </si>
  <si>
    <t>The system must keep a repository of work program providers.</t>
  </si>
  <si>
    <t>The system must keep a repository of approved vendors.</t>
  </si>
  <si>
    <t>The system must calculate transportation payments to work program participants, as well as under/over payments.</t>
  </si>
  <si>
    <t>Transportation payments must be linked to work program assignments.</t>
  </si>
  <si>
    <t>The system should be able to capture information related to employment, such as but not limited to, education, experience, goals, or disabilities. SNAP E/T, TANF, TWP</t>
  </si>
  <si>
    <t>The system must utilize a spell check function for all text (e.g., secure messages, case notes), providing a visual identification of misspelled words, recommendations for correction, and the ability to ignore or replace all similar misspellings as well as add the word to a custom dictionary.</t>
  </si>
  <si>
    <t>Validation checks</t>
  </si>
  <si>
    <t>The system must validate that all mandatory data fields have been completed when a user attempts to submit a form or save a record/page.</t>
  </si>
  <si>
    <t>The system must validate information as the data is entered including, but not limited to: required field completion, field content types (e.g., names must not contain numbers), and acceptable values (e.g., no birth dates before 1/1/1900, zip code must have 5 characters, etc.)</t>
  </si>
  <si>
    <t>The system must ensure that data is formatted (e.g., entered and presented) similarly for similar data fields including, but not limited to: phone numbers, addresses, SSNs, email addresses, other data fields as defined by the MDHS, and additional relevant fields as defined by the MDHS.</t>
  </si>
  <si>
    <t>The system must provide the ability to standardize and validate address information against an external database (postal service, DHS). This will verify the address is a valid, deliverable mailstop and validate against address, ZIP code, census tract, etc.</t>
  </si>
  <si>
    <t>The system must support the ability to track and view undeliverable client notices.</t>
  </si>
  <si>
    <t>The system must provide validation checks at the time of each field entry as the default mechanism.</t>
  </si>
  <si>
    <t>The system must identify invalid entries to the user as soon as possible.</t>
  </si>
  <si>
    <t>The system must provide on-screen messages or visual clues when data has been entered incorrectly.</t>
  </si>
  <si>
    <t>The system must prevent task progress when data has been entered incorrectly.</t>
  </si>
  <si>
    <t>The system must allow users to save 'partially completed' records for completion at a later date.</t>
  </si>
  <si>
    <t>The system must allow both soft edit requirements (warnings that can be bypassed) and hard edit requirements (errors that must be resolved) to be displayed on the screen as data are entered into the record as defined by business rules.</t>
  </si>
  <si>
    <t>The system must provide the ability to suggest or automatically change entries that do not conform to data entry standards, to be defined by the MDHS.</t>
  </si>
  <si>
    <t>The system must highlight and flag required and incomplete data fields.</t>
  </si>
  <si>
    <t>The system must not require users to re-enter data due to validation errors if the system can auto-correct based on the entered data, or the user can navigate to the entry error to correct the entry.</t>
  </si>
  <si>
    <t>The system must manage business rules affecting eligibility, benefits issuance, sanctions, and conditionally required data items via a workflows/business rules engine.</t>
  </si>
  <si>
    <t>Workflow management</t>
  </si>
  <si>
    <t>The system must automatically execute workflows/business rules as a user navigates and enters data (e.g. - workflow executes based on a field change), or silently (e.g. - workflow executes if a record hasn't been updated within a specified duration).</t>
  </si>
  <si>
    <t>The system must have a workflow/business rules repository/tool administered by the MDHS.</t>
  </si>
  <si>
    <t>The system must support the execution of automated custom workflows/business rules designed to run based off of the current user's access role and the data being entered (e.g., client demographics, form data, scores, report results, document modifications, applications, etc.).</t>
  </si>
  <si>
    <t>The system must contain workflows/business rules that are specific and unique to each division, program, or other functional area.</t>
  </si>
  <si>
    <t>The system must provide configurable workflow/business rule variables that can be easily changed by an authorized user when there are changes to Federal regulations, State regulations, policy changes, and more.</t>
  </si>
  <si>
    <t>The system must allow the MDHS staff with appropriate permissions based on secure RBAC to add, delete, and modify workflow independently of the system vendor.</t>
  </si>
  <si>
    <t>The system must produce warnings on existing workflows/business rules when a change results in an existing workflow no longer being executed.</t>
  </si>
  <si>
    <t>The system must discover and provide an alert for conflicting workflows/business rules.</t>
  </si>
  <si>
    <t>The system must provide configurable workflow/business rule variables that can be easily changed by a MDHS rules administrator when there are changes to Federal or State regulations, cost of living adjustments, etc.</t>
  </si>
  <si>
    <t>The system must allow the MDHS workers to customize workflows/business rules in structured English language.</t>
  </si>
  <si>
    <t>The system must provide a mechanism for authorized users to create and edit custom workflows/business rules without knowledge of programming languages.</t>
  </si>
  <si>
    <t>The system must allow for authorized users to design the workflow/business rule criteria and resulting outcomes of workflows/business rules.</t>
  </si>
  <si>
    <t>The system must be able to schedule client interviews and generate calendar notifications to clients based on business rules.</t>
  </si>
  <si>
    <t>The system must allow authorized users to indicate a date for the workflow/business rules to take effect or to expire.</t>
  </si>
  <si>
    <t>The system must limit access to workers who can update and maintain the rules and reference table values online using secure RBAC.</t>
  </si>
  <si>
    <t>The system must manage access rights to workflows/business rules at varying levels. Levels include, but may not be limited to: read only access to some or all rules, read/write access to some or all rules, user type, and workflow type.</t>
  </si>
  <si>
    <t>The system must provide the ability to mark a workflow/business rule as final/active.</t>
  </si>
  <si>
    <t>The system must utilize version control in order to invoke the workflow/business rules repository that is effective for the application benefit period for which a client is requesting eligibility.</t>
  </si>
  <si>
    <t>The system must provide the capability to roll back to a prior version of a workflow/business rule.</t>
  </si>
  <si>
    <t>The system must provide a mechanism to deploy workflows/business rules to different environments including, but not limited to, Production, Test, Development, Training, and other environments to be defined by the MDHS.</t>
  </si>
  <si>
    <t>The system must provide the ability to categorize workflows/business rules in order to manage and organize them.</t>
  </si>
  <si>
    <t>The system must track workflow/business rule last modified date/last modified user</t>
  </si>
  <si>
    <t>The system must track workflow/business rule last executed date.</t>
  </si>
  <si>
    <t>The system must track metrics on workflow/business rule technical completion and performance.</t>
  </si>
  <si>
    <t>The system must have a dashboard to monitor workflows/business rules execution, performance, and statistics.</t>
  </si>
  <si>
    <t>The system must have a dashboard for supervisors and managers to monitor worker and team workflows/business rules, performance, and statistics.</t>
  </si>
  <si>
    <t>The system must produce a report (execution log) of workflows/business rules passed or failed for all executions.</t>
  </si>
  <si>
    <t>The system must allow workflow/business rules execution logging to be turned on or off.</t>
  </si>
  <si>
    <t>The system must provide the ability to create or change a workflow/business rule that is currently within the production environment, without stopping the existing workflow service or interrupting the production environment.</t>
  </si>
  <si>
    <t>The system must enable workflow/business rule "flexibility" where progression can proceed in either direction; For example, if a worker does not approve an application due to an error that they discover, the system must automatically reroute the workflow application accordingly.</t>
  </si>
  <si>
    <t>The system must support automated alerts for all workflow/business rule outcomes.</t>
  </si>
  <si>
    <t>The system must allow users to search, sort, filter, and export workflow/business rule alerts.</t>
  </si>
  <si>
    <t>The system must have tracking mechanisms to identify which workflow/business rules are executed for the particular transactions.</t>
  </si>
  <si>
    <t>The system must provide a debugging tool to debug the workflow/business rules execution, with dynamic modification of business rules during execution to support testing.</t>
  </si>
  <si>
    <t>The system must include test data creation tools for workflows/business rules.</t>
  </si>
  <si>
    <t>The system must include a test environment with dashboard drilldowns using past production data to show how functionality/end results will change when changes are made to workflows/business rules.</t>
  </si>
  <si>
    <t>The system must send alerts to the workflows/business rules administrator when errors and unhandled exceptions are encountered with the business rules.</t>
  </si>
  <si>
    <t>The system must allow authorized users to manage data values such as fields, rates, constants, age limits etc. used in workflows/business rules and reference values.</t>
  </si>
  <si>
    <t>The system's workflow/business rules repository must allow searching by topic, date, program, rule number, or a combination of search criteria.</t>
  </si>
  <si>
    <t>The system must create workflow/business rules using templates provided by the system vendor and/or created by the administrator.</t>
  </si>
  <si>
    <t>The system must provide a way to identify and manage workflow templates, with each template having a unique identifier.</t>
  </si>
  <si>
    <t>The system must perform "what if" scenarios on live data without impact to the data, rules engine, application, or clients.</t>
  </si>
  <si>
    <t>The system must identify, track, and report orphaned workflow/business rules and alerts.</t>
  </si>
  <si>
    <t>The system must leverage a recognized industry standard third-party solution for workflow/business rules management.</t>
  </si>
  <si>
    <t>The system must allow configuration of system rules for automated case classification, unique to program area.</t>
  </si>
  <si>
    <t>The system must create a workflow event whenever a document is received via fax or email and cannot be associated to a person, application, or case and allow a worker to update the document with the correct identify information.</t>
  </si>
  <si>
    <t>The system must provide a workflow diagram to show where the user is in the workflow.</t>
  </si>
  <si>
    <t>The system must provide an "inbox" for each user with the task to be reviewed, showing description, status, and user comments, if applicable.</t>
  </si>
  <si>
    <t>The system must provide an "out of office/no longer an employee" feature and redirect jobs to another worker within the same workflow so that work is not interrupted.</t>
  </si>
  <si>
    <t>The system must set timeframes for a task in workflow when the next action(s) is needed.</t>
  </si>
  <si>
    <t>The system must assign each task resulting from a workflow based on worker availability, capacity, and skillset.</t>
  </si>
  <si>
    <t>The system must display a workers availability status on the system.</t>
  </si>
  <si>
    <t>The system must allow workers to manually select a workflow assignment that is appropriate  for their availability, capacity, and skill level.</t>
  </si>
  <si>
    <t>The system must allow assigned tasks that result out of a workflow to be manually assigned to another worker.</t>
  </si>
  <si>
    <t>The system must display status bar on top of each web page to show the percentage completed of each workflow in progress.</t>
  </si>
  <si>
    <t>The system must allow for multiple workflows at the same time for the same case and notify all workers of task being performed in real time.</t>
  </si>
  <si>
    <t>The system must allow workers to stop a workflow at any point and restart at the same point at later time.</t>
  </si>
  <si>
    <t>The system must support user and group collaboration on work items, where more than one user can work on the same work item (case) without changing data that another person has already updated unless intended (e.g., the system provides a warning to the user that the data has already been updated).</t>
  </si>
  <si>
    <t>The system must allow routing of workflow for multiple destinations. (e.g., route back to previous person for correction, route forward if no changes made, re-route the task/document to the beginning of the workflow process if initial steps/data missing).</t>
  </si>
  <si>
    <t>The system must not allow a workflow to be flagged as completed, before all workflow tasks have been addressed.</t>
  </si>
  <si>
    <t>The system must automatically assign a status to a task in workflow, with the ability to manually override/edit/assign task status.</t>
  </si>
  <si>
    <t>The system must drive workflow based on changes in status of a task.</t>
  </si>
  <si>
    <t>The system workflow must automatically route transactions to a user or workgroup after a specific time of inaction, based on user-defined criteria.</t>
  </si>
  <si>
    <t>The system must allow alerts to be administered and maintained based on RBAC.</t>
  </si>
  <si>
    <t>The system must allow the administrator to configure the Alert Name as part of an alert administration process. This must be a pre-defined list of items to select from, or a free-form text when category 'other' is selected.</t>
  </si>
  <si>
    <t>The system must allow the administrator to configure the Alert Due Date as part of an alert administration process. This must be auto-populated depending on the type of alert selected.</t>
  </si>
  <si>
    <t>The system must allow the administrator to configure the Extended Date as part of an alert administration process. This must be a date beyond which the system must not allow for the alert to be extended.</t>
  </si>
  <si>
    <t>The system must allow the administrator to configure the Alert Status (e.g., whether or not the current alert is active) as part of an alert administration process.</t>
  </si>
  <si>
    <t>The system must allow the administrator to configure the Alert Display Date as part of an alert administration process. This must allow for a scheduled display of the alert to be defined.</t>
  </si>
  <si>
    <t>The system must allow workers to search, sort, filter, and export alerts.</t>
  </si>
  <si>
    <t>The system must allow workers to clear and transfer alerts based on RBAC.</t>
  </si>
  <si>
    <t>The system must allow workers to extend an alert due date with entry of a new date and extension reason.</t>
  </si>
  <si>
    <t>The system must create and generate customizable alerts for work tasks, as needed.</t>
  </si>
  <si>
    <t>The system must produce an automatic notification for overdue tasks.</t>
  </si>
  <si>
    <t>The system must issue a supervisory alert whenever a task is incomplete as of the due date.</t>
  </si>
  <si>
    <t>The system must track tasks, as defined and configured by the MDHS, and report alerts on task status and date to system users.</t>
  </si>
  <si>
    <t>The system must present workers with a searchable, sortable and filterable list of alerts that allows workers to view alerts by application, client, type, priority, due date, etc.</t>
  </si>
  <si>
    <t>The system must present workers with an optional comment box to key in comments before clearing/closing the alert.</t>
  </si>
  <si>
    <t>The system must allow a worker to create an alert manually.</t>
  </si>
  <si>
    <t>When workers select the alert name 'free' or 'other' from the drop down list, the system must display a text box titled 'Alert Description' that requires workers to key in a description of the alert.</t>
  </si>
  <si>
    <t>The system must calculate and display the due date for the selected alert based on the values configured in the administrative alert tables for selected alert type.</t>
  </si>
  <si>
    <t>The system must capture and display the name and user ID of the worker that generates an alert as well as the date and time the alert was generated.</t>
  </si>
  <si>
    <t>The system must allow workers to associate an alert to an application, document, case, or client.</t>
  </si>
  <si>
    <t>The system must allow workers to attach a document to an alert during the alert creation process.</t>
  </si>
  <si>
    <t>Passed</t>
  </si>
  <si>
    <t>Shared</t>
  </si>
  <si>
    <t>Low</t>
  </si>
  <si>
    <t>New</t>
  </si>
  <si>
    <t>Native</t>
  </si>
  <si>
    <t>Not Scheduled</t>
  </si>
  <si>
    <t>Not Run</t>
  </si>
  <si>
    <t>Direct</t>
  </si>
  <si>
    <t>Medium</t>
  </si>
  <si>
    <t>Review</t>
  </si>
  <si>
    <t>Config</t>
  </si>
  <si>
    <t>Scheduled</t>
  </si>
  <si>
    <t>In Progress</t>
  </si>
  <si>
    <t>High</t>
  </si>
  <si>
    <t>Approved</t>
  </si>
  <si>
    <t>Coding</t>
  </si>
  <si>
    <t>Failed</t>
  </si>
  <si>
    <t>Client Eligibility</t>
  </si>
  <si>
    <t>Complete</t>
  </si>
  <si>
    <t>Blocked</t>
  </si>
  <si>
    <t>Duplicate</t>
  </si>
  <si>
    <t>Analysis</t>
  </si>
  <si>
    <t>Obsolete</t>
  </si>
  <si>
    <r>
      <t xml:space="preserve">This Appendix to </t>
    </r>
    <r>
      <rPr>
        <sz val="10"/>
        <color indexed="10"/>
        <rFont val="Arial"/>
        <family val="2"/>
      </rPr>
      <t>RFP 4488</t>
    </r>
    <r>
      <rPr>
        <sz val="10"/>
        <rFont val="Arial"/>
        <family val="2"/>
      </rPr>
      <t xml:space="preserve"> contains functional, technical, and interface requirements for the MDHS System. 
Vendors must complete this template and submit it as an MS Excel file as part of the RFP response.
Vendors shall not edit the content in columns A-F in worksheet 4. Requirements. Vendors must complete columns G-H for every requirement and may opt in or out of providing comments in column I. A description of these columns is provided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</si>
</sst>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font>
    <font>
      <sz val="11"/>
      <color indexed="8"/>
      <name val="Calibri"/>
      <family val="2"/>
    </font>
    <font>
      <sz val="10"/>
      <color indexed="8"/>
      <name val="Arial"/>
      <family val="2"/>
    </font>
    <font>
      <sz val="10"/>
      <color indexed="8"/>
      <name val="Arial"/>
      <family val="2"/>
    </font>
    <font>
      <b/>
      <sz val="10"/>
      <color indexed="9"/>
      <name val="Arial"/>
      <family val="2"/>
    </font>
    <font>
      <sz val="11"/>
      <color indexed="2"/>
      <name val="Calibri"/>
      <family val="2"/>
    </font>
    <font>
      <b/>
      <sz val="11"/>
      <color indexed="8"/>
      <name val="Calibri"/>
      <family val="2"/>
    </font>
    <font>
      <b/>
      <sz val="11"/>
      <color indexed="9"/>
      <name val="Calibri"/>
      <family val="2"/>
    </font>
    <font>
      <sz val="11"/>
      <color indexed="9"/>
      <name val="Calibri"/>
      <family val="2"/>
    </font>
    <font>
      <sz val="10"/>
      <name val="Arial"/>
      <family val="2"/>
    </font>
    <font>
      <b/>
      <sz val="10"/>
      <name val="Arial"/>
      <family val="2"/>
    </font>
    <font>
      <sz val="10"/>
      <color indexed="10"/>
      <name val="Arial"/>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rgb="FFFFFFFF"/>
      <name val="Arial"/>
      <family val="2"/>
    </font>
    <font>
      <sz val="10"/>
      <color rgb="FF000000"/>
      <name val="Arial"/>
      <family val="2"/>
    </font>
    <font>
      <sz val="11"/>
      <color rgb="FF000000"/>
      <name val="Arial"/>
      <family val="2"/>
    </font>
    <font>
      <b/>
      <sz val="11"/>
      <color rgb="FFFFFFFF"/>
      <name val="Arial"/>
      <family val="2"/>
    </font>
    <font>
      <b/>
      <sz val="11"/>
      <color rgb="FF000000"/>
      <name val="Arial"/>
      <family val="2"/>
    </font>
    <font>
      <b/>
      <sz val="10"/>
      <color rgb="FF000000"/>
      <name val="Arial"/>
      <family val="2"/>
    </font>
    <font>
      <b/>
      <sz val="11"/>
      <color theme="0"/>
      <name val="Arial"/>
      <family val="2"/>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A1D038"/>
        <bgColor rgb="FF000000"/>
      </patternFill>
    </fill>
    <fill>
      <patternFill patternType="solid">
        <fgColor rgb="FF003A5D"/>
        <bgColor rgb="FF000000"/>
      </patternFill>
    </fill>
    <fill>
      <patternFill patternType="solid">
        <fgColor rgb="FF636569"/>
        <bgColor rgb="FF000000"/>
      </patternFill>
    </fill>
    <fill>
      <patternFill patternType="solid">
        <fgColor rgb="FFFFFFFF"/>
        <bgColor rgb="FF000000"/>
      </patternFill>
    </fill>
    <fill>
      <patternFill patternType="solid">
        <fgColor rgb="FF68A2B9"/>
        <bgColor rgb="FF000000"/>
      </patternFill>
    </fill>
    <fill>
      <patternFill patternType="solid">
        <fgColor rgb="FF000000"/>
        <bgColor rgb="FF000000"/>
      </patternFill>
    </fill>
    <fill>
      <patternFill patternType="solid">
        <fgColor rgb="FF526A1A"/>
        <bgColor rgb="FF000000"/>
      </patternFill>
    </fill>
    <fill>
      <patternFill patternType="solid">
        <fgColor rgb="FF68A2B9"/>
        <bgColor indexed="64"/>
      </patternFill>
    </fill>
    <fill>
      <patternFill patternType="solid">
        <fgColor theme="0"/>
        <bgColor indexed="64"/>
      </patternFill>
    </fill>
    <fill>
      <patternFill patternType="solid">
        <fgColor rgb="FF003A5D"/>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12" fillId="28" borderId="0" applyNumberFormat="0" applyBorder="0" applyAlignment="0" applyProtection="0"/>
    <xf numFmtId="0" fontId="13" fillId="29" borderId="6" applyNumberFormat="0" applyAlignment="0" applyProtection="0"/>
    <xf numFmtId="0" fontId="7" fillId="30" borderId="7" applyNumberFormat="0" applyAlignment="0" applyProtection="0"/>
    <xf numFmtId="0" fontId="14" fillId="0" borderId="0" applyNumberFormat="0" applyFill="0" applyBorder="0" applyAlignment="0" applyProtection="0"/>
    <xf numFmtId="0" fontId="15" fillId="31" borderId="0" applyNumberFormat="0" applyBorder="0" applyAlignment="0" applyProtection="0"/>
    <xf numFmtId="0" fontId="16" fillId="0" borderId="8" applyNumberFormat="0" applyFill="0" applyAlignment="0" applyProtection="0"/>
    <xf numFmtId="0" fontId="17" fillId="0" borderId="9" applyNumberFormat="0" applyFill="0" applyAlignment="0" applyProtection="0"/>
    <xf numFmtId="0" fontId="18" fillId="0" borderId="10" applyNumberFormat="0" applyFill="0" applyAlignment="0" applyProtection="0"/>
    <xf numFmtId="0" fontId="18" fillId="0" borderId="0" applyNumberFormat="0" applyFill="0" applyBorder="0" applyAlignment="0" applyProtection="0"/>
    <xf numFmtId="0" fontId="19" fillId="2" borderId="6" applyNumberFormat="0" applyAlignment="0" applyProtection="0"/>
    <xf numFmtId="0" fontId="20" fillId="0" borderId="11" applyNumberFormat="0" applyFill="0" applyAlignment="0" applyProtection="0"/>
    <xf numFmtId="0" fontId="21" fillId="32" borderId="0" applyNumberFormat="0" applyBorder="0" applyAlignment="0" applyProtection="0"/>
    <xf numFmtId="0" fontId="1" fillId="3" borderId="12" applyNumberFormat="0" applyAlignment="0" applyProtection="0"/>
    <xf numFmtId="0" fontId="22" fillId="29" borderId="13" applyNumberFormat="0" applyAlignment="0" applyProtection="0"/>
    <xf numFmtId="0" fontId="23" fillId="0" borderId="0" applyNumberFormat="0" applyFill="0" applyBorder="0" applyAlignment="0" applyProtection="0"/>
    <xf numFmtId="0" fontId="6" fillId="0" borderId="14" applyNumberFormat="0" applyFill="0" applyAlignment="0" applyProtection="0"/>
    <xf numFmtId="0" fontId="5" fillId="0" borderId="0" applyNumberFormat="0" applyFill="0" applyBorder="0" applyAlignment="0" applyProtection="0"/>
  </cellStyleXfs>
  <cellXfs count="56">
    <xf numFmtId="0" fontId="0" fillId="0" borderId="0" xfId="0" applyFont="1" applyAlignment="1"/>
    <xf numFmtId="0" fontId="3" fillId="0" borderId="0" xfId="0" applyFont="1" applyAlignment="1"/>
    <xf numFmtId="0" fontId="3" fillId="0" borderId="0" xfId="0" applyFont="1" applyFill="1" applyAlignment="1"/>
    <xf numFmtId="0" fontId="3" fillId="0" borderId="0" xfId="0" applyFont="1" applyAlignment="1">
      <alignment horizontal="center"/>
    </xf>
    <xf numFmtId="0" fontId="3" fillId="0" borderId="0" xfId="0" applyFont="1" applyAlignment="1">
      <alignment wrapText="1"/>
    </xf>
    <xf numFmtId="0" fontId="24" fillId="33" borderId="0" xfId="0" applyFont="1" applyFill="1" applyAlignment="1">
      <alignment horizontal="center" vertical="center" wrapText="1"/>
    </xf>
    <xf numFmtId="0" fontId="25" fillId="0" borderId="0" xfId="0" applyFont="1" applyAlignment="1"/>
    <xf numFmtId="0" fontId="26" fillId="0" borderId="0" xfId="0" applyFont="1" applyAlignment="1"/>
    <xf numFmtId="0" fontId="2" fillId="0" borderId="0" xfId="0" applyFont="1" applyAlignment="1">
      <alignment vertical="top" wrapText="1"/>
    </xf>
    <xf numFmtId="0" fontId="3" fillId="0" borderId="0" xfId="0" applyFont="1" applyAlignment="1">
      <alignment vertical="top"/>
    </xf>
    <xf numFmtId="0" fontId="26" fillId="0" borderId="0" xfId="0" applyFont="1" applyAlignment="1">
      <alignment wrapText="1"/>
    </xf>
    <xf numFmtId="0" fontId="25" fillId="0" borderId="0" xfId="0" applyFont="1" applyAlignment="1">
      <alignment horizontal="left" vertical="top" wrapText="1"/>
    </xf>
    <xf numFmtId="0" fontId="26" fillId="0" borderId="0" xfId="0" applyFont="1" applyAlignment="1">
      <alignment horizontal="left" vertical="top" wrapText="1"/>
    </xf>
    <xf numFmtId="0" fontId="24" fillId="35" borderId="0" xfId="0" applyFont="1" applyFill="1" applyAlignment="1">
      <alignment horizontal="center" vertical="top"/>
    </xf>
    <xf numFmtId="0" fontId="10" fillId="36" borderId="1" xfId="0" applyFont="1" applyFill="1" applyBorder="1" applyAlignment="1">
      <alignment vertical="top" wrapText="1"/>
    </xf>
    <xf numFmtId="0" fontId="9" fillId="36" borderId="2" xfId="0" applyFont="1" applyFill="1" applyBorder="1" applyAlignment="1">
      <alignment vertical="top" wrapText="1"/>
    </xf>
    <xf numFmtId="0" fontId="25" fillId="0" borderId="3" xfId="0" applyFont="1" applyBorder="1" applyAlignment="1">
      <alignment horizontal="left" vertical="top" wrapText="1"/>
    </xf>
    <xf numFmtId="0" fontId="27" fillId="34" borderId="3" xfId="0" applyFont="1" applyFill="1" applyBorder="1" applyAlignment="1">
      <alignment horizontal="left" vertical="top" wrapText="1"/>
    </xf>
    <xf numFmtId="0" fontId="25" fillId="0" borderId="3" xfId="0" applyFont="1" applyBorder="1" applyAlignment="1">
      <alignment horizontal="left" vertical="top"/>
    </xf>
    <xf numFmtId="0" fontId="0" fillId="0" borderId="0" xfId="0" applyFont="1" applyAlignment="1">
      <alignment horizontal="left" vertical="top"/>
    </xf>
    <xf numFmtId="0" fontId="3" fillId="0" borderId="0" xfId="0" applyFont="1" applyAlignment="1">
      <alignment horizontal="center" wrapText="1"/>
    </xf>
    <xf numFmtId="0" fontId="9" fillId="36" borderId="4" xfId="0" applyFont="1" applyFill="1" applyBorder="1" applyAlignment="1">
      <alignment vertical="top" wrapText="1"/>
    </xf>
    <xf numFmtId="0" fontId="4" fillId="22" borderId="0" xfId="0" applyFont="1" applyFill="1" applyAlignment="1">
      <alignment horizontal="center"/>
    </xf>
    <xf numFmtId="0" fontId="4" fillId="40" borderId="0" xfId="0" applyFont="1" applyFill="1" applyAlignment="1" applyProtection="1">
      <alignment horizontal="center"/>
    </xf>
    <xf numFmtId="0" fontId="4" fillId="40" borderId="0" xfId="0" applyFont="1" applyFill="1" applyAlignment="1" applyProtection="1">
      <alignment horizontal="center" wrapText="1"/>
    </xf>
    <xf numFmtId="0" fontId="29" fillId="41" borderId="1" xfId="0" applyFont="1" applyFill="1" applyBorder="1" applyAlignment="1">
      <alignment wrapText="1"/>
    </xf>
    <xf numFmtId="0" fontId="29" fillId="41" borderId="4" xfId="0" applyFont="1" applyFill="1" applyBorder="1" applyAlignment="1">
      <alignment wrapText="1"/>
    </xf>
    <xf numFmtId="0" fontId="25" fillId="41" borderId="2" xfId="0" applyFont="1" applyFill="1" applyBorder="1" applyAlignment="1">
      <alignment wrapText="1"/>
    </xf>
    <xf numFmtId="0" fontId="29" fillId="41" borderId="1" xfId="0" applyFont="1" applyFill="1" applyBorder="1" applyAlignment="1">
      <alignment vertical="center" wrapText="1"/>
    </xf>
    <xf numFmtId="0" fontId="25" fillId="41" borderId="2" xfId="0" applyFont="1" applyFill="1" applyBorder="1" applyAlignment="1">
      <alignment vertical="center" wrapText="1"/>
    </xf>
    <xf numFmtId="0" fontId="4" fillId="0" borderId="0" xfId="0" applyFont="1" applyFill="1" applyAlignment="1">
      <alignment horizontal="center"/>
    </xf>
    <xf numFmtId="0" fontId="2" fillId="43" borderId="0" xfId="0" applyFont="1" applyFill="1" applyAlignment="1">
      <alignment vertical="top" wrapText="1"/>
    </xf>
    <xf numFmtId="0" fontId="10" fillId="36" borderId="4" xfId="0" applyFont="1" applyFill="1" applyBorder="1" applyAlignment="1">
      <alignment vertical="top" wrapText="1"/>
    </xf>
    <xf numFmtId="0" fontId="27" fillId="34" borderId="0" xfId="0" applyFont="1" applyFill="1" applyAlignment="1">
      <alignment horizontal="center" vertical="top"/>
    </xf>
    <xf numFmtId="0" fontId="2" fillId="0" borderId="0" xfId="0" applyFont="1" applyFill="1" applyAlignment="1"/>
    <xf numFmtId="0" fontId="2" fillId="0" borderId="0" xfId="0" applyFont="1" applyAlignment="1"/>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vertical="top"/>
    </xf>
    <xf numFmtId="0" fontId="2" fillId="0" borderId="0" xfId="0" applyFont="1" applyFill="1" applyAlignment="1">
      <alignment vertical="top" wrapText="1"/>
    </xf>
    <xf numFmtId="0" fontId="24" fillId="37" borderId="1" xfId="0" applyFont="1" applyFill="1" applyBorder="1" applyAlignment="1">
      <alignment vertical="top" wrapText="1"/>
    </xf>
    <xf numFmtId="0" fontId="24" fillId="37" borderId="2" xfId="0" applyFont="1" applyFill="1" applyBorder="1" applyAlignment="1">
      <alignment vertical="top" wrapText="1"/>
    </xf>
    <xf numFmtId="0" fontId="24" fillId="33" borderId="1" xfId="0" applyFont="1" applyFill="1" applyBorder="1" applyAlignment="1">
      <alignment vertical="top"/>
    </xf>
    <xf numFmtId="0" fontId="24" fillId="33" borderId="2" xfId="0" applyFont="1" applyFill="1" applyBorder="1" applyAlignment="1">
      <alignment vertical="top"/>
    </xf>
    <xf numFmtId="0" fontId="24" fillId="33" borderId="4" xfId="0" applyFont="1" applyFill="1" applyBorder="1" applyAlignment="1">
      <alignment vertical="top"/>
    </xf>
    <xf numFmtId="0" fontId="27" fillId="34" borderId="0" xfId="0" applyFont="1" applyFill="1" applyAlignment="1">
      <alignment horizontal="center" vertical="top"/>
    </xf>
    <xf numFmtId="0" fontId="28" fillId="0" borderId="0" xfId="0" applyFont="1" applyAlignment="1">
      <alignment horizontal="center" vertical="top"/>
    </xf>
    <xf numFmtId="0" fontId="24" fillId="38" borderId="5" xfId="0" applyFont="1" applyFill="1" applyBorder="1" applyAlignment="1">
      <alignment horizontal="left" vertical="top" wrapText="1"/>
    </xf>
    <xf numFmtId="0" fontId="24" fillId="38" borderId="0" xfId="0" applyFont="1" applyFill="1" applyBorder="1" applyAlignment="1">
      <alignment horizontal="left" vertical="top" wrapText="1"/>
    </xf>
    <xf numFmtId="0" fontId="9" fillId="0" borderId="0" xfId="0" applyFont="1" applyAlignment="1">
      <alignment horizontal="center" vertical="top" wrapText="1"/>
    </xf>
    <xf numFmtId="0" fontId="24" fillId="37" borderId="1" xfId="0" applyFont="1" applyFill="1" applyBorder="1" applyAlignment="1">
      <alignment horizontal="left" vertical="top" wrapText="1"/>
    </xf>
    <xf numFmtId="0" fontId="24" fillId="37" borderId="2" xfId="0" applyFont="1" applyFill="1" applyBorder="1" applyAlignment="1">
      <alignment horizontal="left" vertical="top"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27" fillId="39" borderId="0" xfId="0" applyFont="1" applyFill="1" applyAlignment="1">
      <alignment horizontal="center" vertical="top"/>
    </xf>
    <xf numFmtId="0" fontId="30" fillId="42" borderId="0" xfId="0" applyFont="1" applyFill="1" applyAlignment="1">
      <alignment horizontal="center" vertical="top"/>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zoomScaleNormal="100" workbookViewId="0">
      <selection activeCell="E10" sqref="E10"/>
    </sheetView>
  </sheetViews>
  <sheetFormatPr defaultColWidth="8.85546875" defaultRowHeight="15" x14ac:dyDescent="0.25"/>
  <cols>
    <col min="1" max="1" width="30.7109375" customWidth="1"/>
    <col min="2" max="2" width="80.7109375" customWidth="1"/>
  </cols>
  <sheetData>
    <row r="1" spans="1:2" x14ac:dyDescent="0.25">
      <c r="A1" s="45" t="s">
        <v>0</v>
      </c>
      <c r="B1" s="45"/>
    </row>
    <row r="2" spans="1:2" x14ac:dyDescent="0.25">
      <c r="A2" s="46" t="s">
        <v>1</v>
      </c>
      <c r="B2" s="46"/>
    </row>
    <row r="3" spans="1:2" ht="27.75" customHeight="1" x14ac:dyDescent="0.25">
      <c r="A3" s="47" t="s">
        <v>2</v>
      </c>
      <c r="B3" s="48"/>
    </row>
    <row r="4" spans="1:2" ht="85.5" customHeight="1" x14ac:dyDescent="0.25">
      <c r="A4" s="49" t="s">
        <v>2190</v>
      </c>
      <c r="B4" s="49"/>
    </row>
    <row r="5" spans="1:2" x14ac:dyDescent="0.25">
      <c r="A5" s="13" t="s">
        <v>3</v>
      </c>
      <c r="B5" s="13" t="s">
        <v>4</v>
      </c>
    </row>
    <row r="6" spans="1:2" x14ac:dyDescent="0.25">
      <c r="A6" s="40" t="s">
        <v>5</v>
      </c>
      <c r="B6" s="52" t="s">
        <v>6</v>
      </c>
    </row>
    <row r="7" spans="1:2" x14ac:dyDescent="0.25">
      <c r="A7" s="41"/>
      <c r="B7" s="53"/>
    </row>
    <row r="8" spans="1:2" x14ac:dyDescent="0.25">
      <c r="A8" s="40" t="s">
        <v>7</v>
      </c>
      <c r="B8" s="14" t="s">
        <v>8</v>
      </c>
    </row>
    <row r="9" spans="1:2" x14ac:dyDescent="0.25">
      <c r="A9" s="41"/>
      <c r="B9" s="15" t="s">
        <v>9</v>
      </c>
    </row>
    <row r="10" spans="1:2" ht="20.25" customHeight="1" x14ac:dyDescent="0.25">
      <c r="A10" s="50" t="s">
        <v>10</v>
      </c>
      <c r="B10" s="14" t="s">
        <v>11</v>
      </c>
    </row>
    <row r="11" spans="1:2" ht="15.75" customHeight="1" x14ac:dyDescent="0.25">
      <c r="A11" s="51"/>
      <c r="B11" s="15" t="s">
        <v>9</v>
      </c>
    </row>
    <row r="12" spans="1:2" ht="15.75" customHeight="1" x14ac:dyDescent="0.25">
      <c r="A12" s="50" t="s">
        <v>12</v>
      </c>
      <c r="B12" s="32" t="s">
        <v>13</v>
      </c>
    </row>
    <row r="13" spans="1:2" ht="15.75" customHeight="1" x14ac:dyDescent="0.25">
      <c r="A13" s="51"/>
      <c r="B13" s="21" t="s">
        <v>9</v>
      </c>
    </row>
    <row r="14" spans="1:2" x14ac:dyDescent="0.25">
      <c r="A14" s="40" t="s">
        <v>14</v>
      </c>
      <c r="B14" s="14" t="s">
        <v>15</v>
      </c>
    </row>
    <row r="15" spans="1:2" ht="13.5" customHeight="1" x14ac:dyDescent="0.25">
      <c r="A15" s="41"/>
      <c r="B15" s="15" t="s">
        <v>9</v>
      </c>
    </row>
    <row r="16" spans="1:2" ht="15" customHeight="1" x14ac:dyDescent="0.25">
      <c r="A16" s="40" t="s">
        <v>16</v>
      </c>
      <c r="B16" s="14" t="s">
        <v>17</v>
      </c>
    </row>
    <row r="17" spans="1:2" ht="18.75" customHeight="1" x14ac:dyDescent="0.25">
      <c r="A17" s="41"/>
      <c r="B17" s="15" t="s">
        <v>9</v>
      </c>
    </row>
    <row r="18" spans="1:2" ht="17.25" customHeight="1" x14ac:dyDescent="0.25">
      <c r="A18" s="42" t="s">
        <v>18</v>
      </c>
      <c r="B18" s="28" t="s">
        <v>19</v>
      </c>
    </row>
    <row r="19" spans="1:2" ht="20.25" customHeight="1" x14ac:dyDescent="0.25">
      <c r="A19" s="43"/>
      <c r="B19" s="29" t="s">
        <v>20</v>
      </c>
    </row>
    <row r="20" spans="1:2" ht="14.25" customHeight="1" x14ac:dyDescent="0.25">
      <c r="A20" s="42" t="s">
        <v>21</v>
      </c>
      <c r="B20" s="25" t="s">
        <v>22</v>
      </c>
    </row>
    <row r="21" spans="1:2" x14ac:dyDescent="0.25">
      <c r="A21" s="44"/>
      <c r="B21" s="26" t="s">
        <v>23</v>
      </c>
    </row>
    <row r="22" spans="1:2" x14ac:dyDescent="0.25">
      <c r="A22" s="44"/>
      <c r="B22" s="26" t="s">
        <v>24</v>
      </c>
    </row>
    <row r="23" spans="1:2" ht="13.5" customHeight="1" x14ac:dyDescent="0.25">
      <c r="A23" s="44"/>
      <c r="B23" s="26" t="s">
        <v>25</v>
      </c>
    </row>
    <row r="24" spans="1:2" ht="17.25" customHeight="1" x14ac:dyDescent="0.25">
      <c r="A24" s="43"/>
      <c r="B24" s="27" t="s">
        <v>20</v>
      </c>
    </row>
    <row r="25" spans="1:2" ht="13.5" customHeight="1" x14ac:dyDescent="0.25">
      <c r="A25" s="42" t="s">
        <v>26</v>
      </c>
      <c r="B25" s="25" t="s">
        <v>27</v>
      </c>
    </row>
    <row r="26" spans="1:2" ht="15.75" customHeight="1" x14ac:dyDescent="0.25">
      <c r="A26" s="43"/>
      <c r="B26" s="27" t="s">
        <v>28</v>
      </c>
    </row>
  </sheetData>
  <mergeCells count="14">
    <mergeCell ref="A16:A17"/>
    <mergeCell ref="A18:A19"/>
    <mergeCell ref="A20:A24"/>
    <mergeCell ref="A25:A26"/>
    <mergeCell ref="A1:B1"/>
    <mergeCell ref="A2:B2"/>
    <mergeCell ref="A3:B3"/>
    <mergeCell ref="A4:B4"/>
    <mergeCell ref="A14:A15"/>
    <mergeCell ref="A10:A11"/>
    <mergeCell ref="A12:A13"/>
    <mergeCell ref="B6:B7"/>
    <mergeCell ref="A6:A7"/>
    <mergeCell ref="A8:A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zoomScaleNormal="100" workbookViewId="0">
      <selection activeCell="B1" sqref="B1"/>
    </sheetView>
  </sheetViews>
  <sheetFormatPr defaultColWidth="8.85546875" defaultRowHeight="15" x14ac:dyDescent="0.25"/>
  <cols>
    <col min="1" max="1" width="31.140625" style="19" customWidth="1"/>
    <col min="2" max="2" width="98.7109375" style="19" customWidth="1"/>
  </cols>
  <sheetData>
    <row r="1" spans="1:2" x14ac:dyDescent="0.25">
      <c r="A1" s="17" t="s">
        <v>29</v>
      </c>
      <c r="B1" s="17" t="s">
        <v>30</v>
      </c>
    </row>
    <row r="2" spans="1:2" ht="25.5" x14ac:dyDescent="0.25">
      <c r="A2" s="16" t="s">
        <v>31</v>
      </c>
      <c r="B2" s="16" t="s">
        <v>32</v>
      </c>
    </row>
    <row r="3" spans="1:2" ht="25.5" x14ac:dyDescent="0.25">
      <c r="A3" s="16" t="s">
        <v>33</v>
      </c>
      <c r="B3" s="16" t="s">
        <v>34</v>
      </c>
    </row>
    <row r="4" spans="1:2" ht="25.5" x14ac:dyDescent="0.25">
      <c r="A4" s="16" t="s">
        <v>35</v>
      </c>
      <c r="B4" s="16" t="s">
        <v>36</v>
      </c>
    </row>
    <row r="5" spans="1:2" ht="25.5" x14ac:dyDescent="0.25">
      <c r="A5" s="16" t="s">
        <v>37</v>
      </c>
      <c r="B5" s="16" t="s">
        <v>38</v>
      </c>
    </row>
    <row r="6" spans="1:2" x14ac:dyDescent="0.25">
      <c r="A6" s="16" t="s">
        <v>39</v>
      </c>
      <c r="B6" s="18" t="s">
        <v>40</v>
      </c>
    </row>
    <row r="7" spans="1:2" ht="25.5" x14ac:dyDescent="0.25">
      <c r="A7" s="16" t="s">
        <v>41</v>
      </c>
      <c r="B7" s="16" t="s">
        <v>42</v>
      </c>
    </row>
    <row r="8" spans="1:2" ht="25.5" x14ac:dyDescent="0.25">
      <c r="A8" s="16" t="s">
        <v>43</v>
      </c>
      <c r="B8" s="16" t="s">
        <v>44</v>
      </c>
    </row>
    <row r="9" spans="1:2" x14ac:dyDescent="0.25">
      <c r="A9" s="16" t="s">
        <v>45</v>
      </c>
      <c r="B9" s="18" t="s">
        <v>46</v>
      </c>
    </row>
    <row r="10" spans="1:2" ht="25.5" x14ac:dyDescent="0.25">
      <c r="A10" s="16" t="s">
        <v>47</v>
      </c>
      <c r="B10" s="18" t="s">
        <v>48</v>
      </c>
    </row>
    <row r="11" spans="1:2" x14ac:dyDescent="0.25">
      <c r="A11" s="16" t="s">
        <v>49</v>
      </c>
      <c r="B11" s="18" t="s">
        <v>50</v>
      </c>
    </row>
    <row r="12" spans="1:2" ht="38.25" x14ac:dyDescent="0.25">
      <c r="A12" s="16" t="s">
        <v>51</v>
      </c>
      <c r="B12" s="16" t="s">
        <v>52</v>
      </c>
    </row>
    <row r="13" spans="1:2" ht="38.25" x14ac:dyDescent="0.25">
      <c r="A13" s="16" t="s">
        <v>53</v>
      </c>
      <c r="B13" s="16" t="s">
        <v>54</v>
      </c>
    </row>
    <row r="14" spans="1:2" x14ac:dyDescent="0.25">
      <c r="A14" s="16" t="s">
        <v>55</v>
      </c>
      <c r="B14" s="18"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26"/>
  <sheetViews>
    <sheetView workbookViewId="0"/>
  </sheetViews>
  <sheetFormatPr defaultRowHeight="15" x14ac:dyDescent="0.25"/>
  <cols>
    <col min="1" max="1" width="23.140625" style="19" customWidth="1"/>
    <col min="2" max="2" width="45.7109375" style="19" customWidth="1"/>
  </cols>
  <sheetData>
    <row r="1" spans="1:2" x14ac:dyDescent="0.25">
      <c r="A1" s="33" t="s">
        <v>57</v>
      </c>
      <c r="B1" s="33" t="s">
        <v>58</v>
      </c>
    </row>
    <row r="2" spans="1:2" x14ac:dyDescent="0.25">
      <c r="A2" s="11" t="s">
        <v>59</v>
      </c>
      <c r="B2" s="11" t="s">
        <v>60</v>
      </c>
    </row>
    <row r="3" spans="1:2" x14ac:dyDescent="0.25">
      <c r="A3" s="11" t="s">
        <v>61</v>
      </c>
      <c r="B3" s="11" t="s">
        <v>62</v>
      </c>
    </row>
    <row r="4" spans="1:2" x14ac:dyDescent="0.25">
      <c r="A4" s="11" t="s">
        <v>63</v>
      </c>
      <c r="B4" s="11" t="s">
        <v>64</v>
      </c>
    </row>
    <row r="5" spans="1:2" x14ac:dyDescent="0.25">
      <c r="A5" s="11" t="s">
        <v>65</v>
      </c>
      <c r="B5" s="11" t="s">
        <v>66</v>
      </c>
    </row>
    <row r="6" spans="1:2" x14ac:dyDescent="0.25">
      <c r="A6" s="11" t="s">
        <v>67</v>
      </c>
      <c r="B6" s="11" t="s">
        <v>68</v>
      </c>
    </row>
    <row r="7" spans="1:2" x14ac:dyDescent="0.25">
      <c r="A7" s="11" t="s">
        <v>69</v>
      </c>
      <c r="B7" s="11" t="s">
        <v>70</v>
      </c>
    </row>
    <row r="8" spans="1:2" x14ac:dyDescent="0.25">
      <c r="A8" s="11" t="s">
        <v>71</v>
      </c>
      <c r="B8" s="11" t="s">
        <v>72</v>
      </c>
    </row>
    <row r="9" spans="1:2" x14ac:dyDescent="0.25">
      <c r="A9" s="11" t="s">
        <v>73</v>
      </c>
      <c r="B9" s="11" t="s">
        <v>74</v>
      </c>
    </row>
    <row r="10" spans="1:2" x14ac:dyDescent="0.25">
      <c r="A10" s="11" t="s">
        <v>75</v>
      </c>
      <c r="B10" s="11" t="s">
        <v>76</v>
      </c>
    </row>
    <row r="11" spans="1:2" x14ac:dyDescent="0.25">
      <c r="A11" s="11" t="s">
        <v>77</v>
      </c>
      <c r="B11" s="11" t="s">
        <v>78</v>
      </c>
    </row>
    <row r="12" spans="1:2" x14ac:dyDescent="0.25">
      <c r="A12" s="11" t="s">
        <v>79</v>
      </c>
      <c r="B12" s="11" t="s">
        <v>80</v>
      </c>
    </row>
    <row r="13" spans="1:2" x14ac:dyDescent="0.25">
      <c r="A13" s="11" t="s">
        <v>81</v>
      </c>
      <c r="B13" s="11" t="s">
        <v>82</v>
      </c>
    </row>
    <row r="14" spans="1:2" x14ac:dyDescent="0.25">
      <c r="A14" s="11" t="s">
        <v>83</v>
      </c>
      <c r="B14" s="11" t="s">
        <v>84</v>
      </c>
    </row>
    <row r="15" spans="1:2" x14ac:dyDescent="0.25">
      <c r="A15" s="11" t="s">
        <v>85</v>
      </c>
      <c r="B15" s="11" t="s">
        <v>86</v>
      </c>
    </row>
    <row r="16" spans="1:2" x14ac:dyDescent="0.25">
      <c r="A16" s="11" t="s">
        <v>87</v>
      </c>
      <c r="B16" s="11" t="s">
        <v>88</v>
      </c>
    </row>
    <row r="17" spans="1:2" x14ac:dyDescent="0.25">
      <c r="A17" s="11" t="s">
        <v>89</v>
      </c>
      <c r="B17" s="11" t="s">
        <v>90</v>
      </c>
    </row>
    <row r="18" spans="1:2" x14ac:dyDescent="0.25">
      <c r="A18" s="11" t="s">
        <v>91</v>
      </c>
      <c r="B18" s="11" t="s">
        <v>92</v>
      </c>
    </row>
    <row r="19" spans="1:2" x14ac:dyDescent="0.25">
      <c r="A19" s="11" t="s">
        <v>93</v>
      </c>
      <c r="B19" s="11" t="s">
        <v>94</v>
      </c>
    </row>
    <row r="20" spans="1:2" x14ac:dyDescent="0.25">
      <c r="A20" s="11" t="s">
        <v>95</v>
      </c>
      <c r="B20" s="11" t="s">
        <v>96</v>
      </c>
    </row>
    <row r="21" spans="1:2" x14ac:dyDescent="0.25">
      <c r="A21" s="11" t="s">
        <v>97</v>
      </c>
      <c r="B21" s="11" t="s">
        <v>98</v>
      </c>
    </row>
    <row r="22" spans="1:2" x14ac:dyDescent="0.25">
      <c r="A22" s="11" t="s">
        <v>99</v>
      </c>
      <c r="B22" s="11" t="s">
        <v>100</v>
      </c>
    </row>
    <row r="23" spans="1:2" x14ac:dyDescent="0.25">
      <c r="A23" s="11" t="s">
        <v>101</v>
      </c>
      <c r="B23" s="11" t="s">
        <v>102</v>
      </c>
    </row>
    <row r="24" spans="1:2" x14ac:dyDescent="0.25">
      <c r="A24" s="11" t="s">
        <v>103</v>
      </c>
      <c r="B24" s="11" t="s">
        <v>104</v>
      </c>
    </row>
    <row r="25" spans="1:2" x14ac:dyDescent="0.25">
      <c r="A25" s="11" t="s">
        <v>105</v>
      </c>
      <c r="B25" s="11" t="s">
        <v>106</v>
      </c>
    </row>
    <row r="26" spans="1:2" x14ac:dyDescent="0.25">
      <c r="A26" s="11" t="s">
        <v>107</v>
      </c>
      <c r="B26" s="11" t="s">
        <v>108</v>
      </c>
    </row>
    <row r="27" spans="1:2" x14ac:dyDescent="0.25">
      <c r="A27" s="11" t="s">
        <v>109</v>
      </c>
      <c r="B27" s="11" t="s">
        <v>110</v>
      </c>
    </row>
    <row r="28" spans="1:2" x14ac:dyDescent="0.25">
      <c r="A28" s="11" t="s">
        <v>111</v>
      </c>
      <c r="B28" s="11" t="s">
        <v>112</v>
      </c>
    </row>
    <row r="29" spans="1:2" x14ac:dyDescent="0.25">
      <c r="A29" s="11" t="s">
        <v>113</v>
      </c>
      <c r="B29" s="11" t="s">
        <v>114</v>
      </c>
    </row>
    <row r="30" spans="1:2" x14ac:dyDescent="0.25">
      <c r="A30" s="11" t="s">
        <v>115</v>
      </c>
      <c r="B30" s="11" t="s">
        <v>116</v>
      </c>
    </row>
    <row r="31" spans="1:2" x14ac:dyDescent="0.25">
      <c r="A31" s="11" t="s">
        <v>117</v>
      </c>
      <c r="B31" s="11" t="s">
        <v>118</v>
      </c>
    </row>
    <row r="32" spans="1:2" x14ac:dyDescent="0.25">
      <c r="A32" s="11" t="s">
        <v>119</v>
      </c>
      <c r="B32" s="11" t="s">
        <v>120</v>
      </c>
    </row>
    <row r="33" spans="1:2" x14ac:dyDescent="0.25">
      <c r="A33" s="11" t="s">
        <v>121</v>
      </c>
      <c r="B33" s="11" t="s">
        <v>122</v>
      </c>
    </row>
    <row r="34" spans="1:2" x14ac:dyDescent="0.25">
      <c r="A34" s="11" t="s">
        <v>123</v>
      </c>
      <c r="B34" s="11" t="s">
        <v>124</v>
      </c>
    </row>
    <row r="35" spans="1:2" x14ac:dyDescent="0.25">
      <c r="A35" s="11" t="s">
        <v>125</v>
      </c>
      <c r="B35" s="11" t="s">
        <v>126</v>
      </c>
    </row>
    <row r="36" spans="1:2" x14ac:dyDescent="0.25">
      <c r="A36" s="11" t="s">
        <v>127</v>
      </c>
      <c r="B36" s="11" t="s">
        <v>128</v>
      </c>
    </row>
    <row r="37" spans="1:2" x14ac:dyDescent="0.25">
      <c r="A37" s="11" t="s">
        <v>129</v>
      </c>
      <c r="B37" s="11" t="s">
        <v>130</v>
      </c>
    </row>
    <row r="38" spans="1:2" x14ac:dyDescent="0.25">
      <c r="A38" s="11" t="s">
        <v>131</v>
      </c>
      <c r="B38" s="11" t="s">
        <v>132</v>
      </c>
    </row>
    <row r="39" spans="1:2" x14ac:dyDescent="0.25">
      <c r="A39" s="11" t="s">
        <v>133</v>
      </c>
      <c r="B39" s="11" t="s">
        <v>134</v>
      </c>
    </row>
    <row r="40" spans="1:2" x14ac:dyDescent="0.25">
      <c r="A40" s="11" t="s">
        <v>135</v>
      </c>
      <c r="B40" s="11" t="s">
        <v>136</v>
      </c>
    </row>
    <row r="41" spans="1:2" ht="25.5" x14ac:dyDescent="0.25">
      <c r="A41" s="11" t="s">
        <v>137</v>
      </c>
      <c r="B41" s="11" t="s">
        <v>138</v>
      </c>
    </row>
    <row r="42" spans="1:2" x14ac:dyDescent="0.25">
      <c r="A42" s="11" t="s">
        <v>139</v>
      </c>
      <c r="B42" s="11" t="s">
        <v>140</v>
      </c>
    </row>
    <row r="43" spans="1:2" x14ac:dyDescent="0.25">
      <c r="A43" s="11" t="s">
        <v>141</v>
      </c>
      <c r="B43" s="11" t="s">
        <v>142</v>
      </c>
    </row>
    <row r="44" spans="1:2" x14ac:dyDescent="0.25">
      <c r="A44" s="11" t="s">
        <v>143</v>
      </c>
      <c r="B44" s="11" t="s">
        <v>144</v>
      </c>
    </row>
    <row r="45" spans="1:2" x14ac:dyDescent="0.25">
      <c r="A45" s="11" t="s">
        <v>145</v>
      </c>
      <c r="B45" s="11" t="s">
        <v>146</v>
      </c>
    </row>
    <row r="46" spans="1:2" x14ac:dyDescent="0.25">
      <c r="A46" s="11" t="s">
        <v>147</v>
      </c>
      <c r="B46" s="11" t="s">
        <v>148</v>
      </c>
    </row>
    <row r="47" spans="1:2" x14ac:dyDescent="0.25">
      <c r="A47" s="11" t="s">
        <v>149</v>
      </c>
      <c r="B47" s="11" t="s">
        <v>150</v>
      </c>
    </row>
    <row r="48" spans="1:2" x14ac:dyDescent="0.25">
      <c r="A48" s="11" t="s">
        <v>151</v>
      </c>
      <c r="B48" s="11" t="s">
        <v>152</v>
      </c>
    </row>
    <row r="49" spans="1:2" x14ac:dyDescent="0.25">
      <c r="A49" s="11" t="s">
        <v>153</v>
      </c>
      <c r="B49" s="11" t="s">
        <v>154</v>
      </c>
    </row>
    <row r="50" spans="1:2" x14ac:dyDescent="0.25">
      <c r="A50" s="11" t="s">
        <v>155</v>
      </c>
      <c r="B50" s="11" t="s">
        <v>156</v>
      </c>
    </row>
    <row r="51" spans="1:2" x14ac:dyDescent="0.25">
      <c r="A51" s="11" t="s">
        <v>157</v>
      </c>
      <c r="B51" s="11" t="s">
        <v>158</v>
      </c>
    </row>
    <row r="52" spans="1:2" x14ac:dyDescent="0.25">
      <c r="A52" s="11" t="s">
        <v>159</v>
      </c>
      <c r="B52" s="11" t="s">
        <v>160</v>
      </c>
    </row>
    <row r="53" spans="1:2" ht="25.5" x14ac:dyDescent="0.25">
      <c r="A53" s="11" t="s">
        <v>161</v>
      </c>
      <c r="B53" s="11" t="s">
        <v>162</v>
      </c>
    </row>
    <row r="54" spans="1:2" x14ac:dyDescent="0.25">
      <c r="A54" s="11" t="s">
        <v>163</v>
      </c>
      <c r="B54" s="11" t="s">
        <v>164</v>
      </c>
    </row>
    <row r="55" spans="1:2" ht="25.5" x14ac:dyDescent="0.25">
      <c r="A55" s="11" t="s">
        <v>165</v>
      </c>
      <c r="B55" s="11" t="s">
        <v>166</v>
      </c>
    </row>
    <row r="56" spans="1:2" x14ac:dyDescent="0.25">
      <c r="A56" s="11" t="s">
        <v>167</v>
      </c>
      <c r="B56" s="11" t="s">
        <v>168</v>
      </c>
    </row>
    <row r="57" spans="1:2" x14ac:dyDescent="0.25">
      <c r="A57" s="11" t="s">
        <v>169</v>
      </c>
      <c r="B57" s="11" t="s">
        <v>170</v>
      </c>
    </row>
    <row r="58" spans="1:2" x14ac:dyDescent="0.25">
      <c r="A58" s="11" t="s">
        <v>171</v>
      </c>
      <c r="B58" s="11" t="s">
        <v>172</v>
      </c>
    </row>
    <row r="59" spans="1:2" x14ac:dyDescent="0.25">
      <c r="A59" s="11" t="s">
        <v>173</v>
      </c>
      <c r="B59" s="11" t="s">
        <v>174</v>
      </c>
    </row>
    <row r="60" spans="1:2" x14ac:dyDescent="0.25">
      <c r="A60" s="11" t="s">
        <v>175</v>
      </c>
      <c r="B60" s="11" t="s">
        <v>176</v>
      </c>
    </row>
    <row r="61" spans="1:2" x14ac:dyDescent="0.25">
      <c r="A61" s="11" t="s">
        <v>177</v>
      </c>
      <c r="B61" s="11" t="s">
        <v>178</v>
      </c>
    </row>
    <row r="62" spans="1:2" x14ac:dyDescent="0.25">
      <c r="A62" s="11" t="s">
        <v>179</v>
      </c>
      <c r="B62" s="11" t="s">
        <v>180</v>
      </c>
    </row>
    <row r="63" spans="1:2" x14ac:dyDescent="0.25">
      <c r="A63" s="11" t="s">
        <v>181</v>
      </c>
      <c r="B63" s="11" t="s">
        <v>182</v>
      </c>
    </row>
    <row r="64" spans="1:2" x14ac:dyDescent="0.25">
      <c r="A64" s="11" t="s">
        <v>183</v>
      </c>
      <c r="B64" s="11" t="s">
        <v>184</v>
      </c>
    </row>
    <row r="65" spans="1:2" x14ac:dyDescent="0.25">
      <c r="A65" s="11" t="s">
        <v>185</v>
      </c>
      <c r="B65" s="11" t="s">
        <v>186</v>
      </c>
    </row>
    <row r="66" spans="1:2" x14ac:dyDescent="0.25">
      <c r="A66" s="11" t="s">
        <v>187</v>
      </c>
      <c r="B66" s="11" t="s">
        <v>188</v>
      </c>
    </row>
    <row r="67" spans="1:2" x14ac:dyDescent="0.25">
      <c r="A67" s="11" t="s">
        <v>189</v>
      </c>
      <c r="B67" s="11" t="s">
        <v>190</v>
      </c>
    </row>
    <row r="68" spans="1:2" x14ac:dyDescent="0.25">
      <c r="A68" s="11" t="s">
        <v>191</v>
      </c>
      <c r="B68" s="11" t="s">
        <v>192</v>
      </c>
    </row>
    <row r="69" spans="1:2" x14ac:dyDescent="0.25">
      <c r="A69" s="11" t="s">
        <v>193</v>
      </c>
      <c r="B69" s="11" t="s">
        <v>194</v>
      </c>
    </row>
    <row r="70" spans="1:2" x14ac:dyDescent="0.25">
      <c r="A70" s="11" t="s">
        <v>195</v>
      </c>
      <c r="B70" s="11" t="s">
        <v>196</v>
      </c>
    </row>
    <row r="71" spans="1:2" x14ac:dyDescent="0.25">
      <c r="A71" s="11" t="s">
        <v>197</v>
      </c>
      <c r="B71" s="11" t="s">
        <v>198</v>
      </c>
    </row>
    <row r="72" spans="1:2" x14ac:dyDescent="0.25">
      <c r="A72" s="11" t="s">
        <v>199</v>
      </c>
      <c r="B72" s="11" t="s">
        <v>200</v>
      </c>
    </row>
    <row r="73" spans="1:2" x14ac:dyDescent="0.25">
      <c r="A73" s="11" t="s">
        <v>201</v>
      </c>
      <c r="B73" s="11" t="s">
        <v>202</v>
      </c>
    </row>
    <row r="74" spans="1:2" x14ac:dyDescent="0.25">
      <c r="A74" s="11" t="s">
        <v>203</v>
      </c>
      <c r="B74" s="11" t="s">
        <v>204</v>
      </c>
    </row>
    <row r="75" spans="1:2" x14ac:dyDescent="0.25">
      <c r="A75" s="11" t="s">
        <v>205</v>
      </c>
      <c r="B75" s="11" t="s">
        <v>206</v>
      </c>
    </row>
    <row r="76" spans="1:2" x14ac:dyDescent="0.25">
      <c r="A76" s="11" t="s">
        <v>207</v>
      </c>
      <c r="B76" s="11" t="s">
        <v>208</v>
      </c>
    </row>
    <row r="77" spans="1:2" x14ac:dyDescent="0.25">
      <c r="A77" s="11" t="s">
        <v>209</v>
      </c>
      <c r="B77" s="11" t="s">
        <v>210</v>
      </c>
    </row>
    <row r="78" spans="1:2" x14ac:dyDescent="0.25">
      <c r="A78" s="11" t="s">
        <v>211</v>
      </c>
      <c r="B78" s="11" t="s">
        <v>212</v>
      </c>
    </row>
    <row r="79" spans="1:2" x14ac:dyDescent="0.25">
      <c r="A79" s="11" t="s">
        <v>213</v>
      </c>
      <c r="B79" s="11" t="s">
        <v>214</v>
      </c>
    </row>
    <row r="80" spans="1:2" x14ac:dyDescent="0.25">
      <c r="A80" s="11" t="s">
        <v>215</v>
      </c>
      <c r="B80" s="11" t="s">
        <v>216</v>
      </c>
    </row>
    <row r="81" spans="1:2" x14ac:dyDescent="0.25">
      <c r="A81" s="11" t="s">
        <v>217</v>
      </c>
      <c r="B81" s="11" t="s">
        <v>218</v>
      </c>
    </row>
    <row r="82" spans="1:2" x14ac:dyDescent="0.25">
      <c r="A82" s="11" t="s">
        <v>219</v>
      </c>
      <c r="B82" s="11" t="s">
        <v>220</v>
      </c>
    </row>
    <row r="83" spans="1:2" x14ac:dyDescent="0.25">
      <c r="A83" s="11" t="s">
        <v>221</v>
      </c>
      <c r="B83" s="11" t="s">
        <v>222</v>
      </c>
    </row>
    <row r="84" spans="1:2" x14ac:dyDescent="0.25">
      <c r="A84" s="11" t="s">
        <v>223</v>
      </c>
      <c r="B84" s="11" t="s">
        <v>224</v>
      </c>
    </row>
    <row r="85" spans="1:2" x14ac:dyDescent="0.25">
      <c r="A85" s="11" t="s">
        <v>225</v>
      </c>
      <c r="B85" s="11" t="s">
        <v>226</v>
      </c>
    </row>
    <row r="86" spans="1:2" x14ac:dyDescent="0.25">
      <c r="A86" s="11" t="s">
        <v>227</v>
      </c>
      <c r="B86" s="11" t="s">
        <v>228</v>
      </c>
    </row>
    <row r="87" spans="1:2" x14ac:dyDescent="0.25">
      <c r="A87" s="11" t="s">
        <v>229</v>
      </c>
      <c r="B87" s="11" t="s">
        <v>230</v>
      </c>
    </row>
    <row r="88" spans="1:2" x14ac:dyDescent="0.25">
      <c r="A88" s="11" t="s">
        <v>231</v>
      </c>
      <c r="B88" s="11" t="s">
        <v>232</v>
      </c>
    </row>
    <row r="89" spans="1:2" x14ac:dyDescent="0.25">
      <c r="A89" s="11" t="s">
        <v>233</v>
      </c>
      <c r="B89" s="11" t="s">
        <v>234</v>
      </c>
    </row>
    <row r="90" spans="1:2" x14ac:dyDescent="0.25">
      <c r="A90" s="11" t="s">
        <v>235</v>
      </c>
      <c r="B90" s="11" t="s">
        <v>236</v>
      </c>
    </row>
    <row r="91" spans="1:2" x14ac:dyDescent="0.25">
      <c r="A91" s="11" t="s">
        <v>237</v>
      </c>
      <c r="B91" s="11" t="s">
        <v>238</v>
      </c>
    </row>
    <row r="92" spans="1:2" x14ac:dyDescent="0.25">
      <c r="A92" s="11" t="s">
        <v>239</v>
      </c>
      <c r="B92" s="11" t="s">
        <v>240</v>
      </c>
    </row>
    <row r="93" spans="1:2" x14ac:dyDescent="0.25">
      <c r="A93" s="11" t="s">
        <v>241</v>
      </c>
      <c r="B93" s="11" t="s">
        <v>242</v>
      </c>
    </row>
    <row r="94" spans="1:2" x14ac:dyDescent="0.25">
      <c r="A94" s="11" t="s">
        <v>243</v>
      </c>
      <c r="B94" s="11" t="s">
        <v>244</v>
      </c>
    </row>
    <row r="95" spans="1:2" x14ac:dyDescent="0.25">
      <c r="A95" s="11" t="s">
        <v>245</v>
      </c>
      <c r="B95" s="11" t="s">
        <v>246</v>
      </c>
    </row>
    <row r="96" spans="1:2" x14ac:dyDescent="0.25">
      <c r="A96" s="11" t="s">
        <v>247</v>
      </c>
      <c r="B96" s="11" t="s">
        <v>248</v>
      </c>
    </row>
    <row r="97" spans="1:2" x14ac:dyDescent="0.25">
      <c r="A97" s="11" t="s">
        <v>249</v>
      </c>
      <c r="B97" s="11" t="s">
        <v>250</v>
      </c>
    </row>
    <row r="98" spans="1:2" x14ac:dyDescent="0.25">
      <c r="A98" s="11" t="s">
        <v>251</v>
      </c>
      <c r="B98" s="11" t="s">
        <v>252</v>
      </c>
    </row>
    <row r="99" spans="1:2" x14ac:dyDescent="0.25">
      <c r="A99" s="11" t="s">
        <v>253</v>
      </c>
      <c r="B99" s="11" t="s">
        <v>254</v>
      </c>
    </row>
    <row r="100" spans="1:2" x14ac:dyDescent="0.25">
      <c r="A100" s="11" t="s">
        <v>255</v>
      </c>
      <c r="B100" s="11" t="s">
        <v>256</v>
      </c>
    </row>
    <row r="101" spans="1:2" x14ac:dyDescent="0.25">
      <c r="A101" s="11" t="s">
        <v>257</v>
      </c>
      <c r="B101" s="11" t="s">
        <v>258</v>
      </c>
    </row>
    <row r="102" spans="1:2" x14ac:dyDescent="0.25">
      <c r="A102" s="11" t="s">
        <v>259</v>
      </c>
      <c r="B102" s="11" t="s">
        <v>260</v>
      </c>
    </row>
    <row r="103" spans="1:2" x14ac:dyDescent="0.25">
      <c r="A103" s="11" t="s">
        <v>261</v>
      </c>
      <c r="B103" s="11" t="s">
        <v>262</v>
      </c>
    </row>
    <row r="104" spans="1:2" x14ac:dyDescent="0.25">
      <c r="A104" s="11" t="s">
        <v>263</v>
      </c>
      <c r="B104" s="11" t="s">
        <v>264</v>
      </c>
    </row>
    <row r="105" spans="1:2" x14ac:dyDescent="0.25">
      <c r="A105" s="11" t="s">
        <v>265</v>
      </c>
      <c r="B105" s="11" t="s">
        <v>266</v>
      </c>
    </row>
    <row r="106" spans="1:2" x14ac:dyDescent="0.25">
      <c r="A106" s="11" t="s">
        <v>267</v>
      </c>
      <c r="B106" s="11" t="s">
        <v>268</v>
      </c>
    </row>
    <row r="107" spans="1:2" x14ac:dyDescent="0.25">
      <c r="A107" s="11" t="s">
        <v>269</v>
      </c>
      <c r="B107" s="11" t="s">
        <v>270</v>
      </c>
    </row>
    <row r="108" spans="1:2" x14ac:dyDescent="0.25">
      <c r="A108" s="11" t="s">
        <v>271</v>
      </c>
      <c r="B108" s="11" t="s">
        <v>272</v>
      </c>
    </row>
    <row r="109" spans="1:2" x14ac:dyDescent="0.25">
      <c r="A109" s="11" t="s">
        <v>273</v>
      </c>
      <c r="B109" s="11" t="s">
        <v>274</v>
      </c>
    </row>
    <row r="110" spans="1:2" x14ac:dyDescent="0.25">
      <c r="A110" s="11" t="s">
        <v>275</v>
      </c>
      <c r="B110" s="11" t="s">
        <v>276</v>
      </c>
    </row>
    <row r="111" spans="1:2" x14ac:dyDescent="0.25">
      <c r="A111" s="11" t="s">
        <v>277</v>
      </c>
      <c r="B111" s="11" t="s">
        <v>278</v>
      </c>
    </row>
    <row r="112" spans="1:2" x14ac:dyDescent="0.25">
      <c r="A112" s="11" t="s">
        <v>279</v>
      </c>
      <c r="B112" s="11" t="s">
        <v>280</v>
      </c>
    </row>
    <row r="113" spans="1:2" x14ac:dyDescent="0.25">
      <c r="A113" s="11" t="s">
        <v>281</v>
      </c>
      <c r="B113" s="11" t="s">
        <v>282</v>
      </c>
    </row>
    <row r="114" spans="1:2" x14ac:dyDescent="0.25">
      <c r="A114" s="11" t="s">
        <v>283</v>
      </c>
      <c r="B114" s="11" t="s">
        <v>284</v>
      </c>
    </row>
    <row r="115" spans="1:2" x14ac:dyDescent="0.25">
      <c r="A115" s="11" t="s">
        <v>285</v>
      </c>
      <c r="B115" s="11" t="s">
        <v>286</v>
      </c>
    </row>
    <row r="116" spans="1:2" x14ac:dyDescent="0.25">
      <c r="A116" s="11" t="s">
        <v>287</v>
      </c>
      <c r="B116" s="11" t="s">
        <v>288</v>
      </c>
    </row>
    <row r="117" spans="1:2" x14ac:dyDescent="0.25">
      <c r="A117" s="11" t="s">
        <v>289</v>
      </c>
      <c r="B117" s="11" t="s">
        <v>290</v>
      </c>
    </row>
    <row r="118" spans="1:2" x14ac:dyDescent="0.25">
      <c r="A118" s="11" t="s">
        <v>291</v>
      </c>
      <c r="B118" s="11" t="s">
        <v>292</v>
      </c>
    </row>
    <row r="119" spans="1:2" x14ac:dyDescent="0.25">
      <c r="A119" s="11" t="s">
        <v>293</v>
      </c>
      <c r="B119" s="11" t="s">
        <v>294</v>
      </c>
    </row>
    <row r="120" spans="1:2" x14ac:dyDescent="0.25">
      <c r="A120" s="11" t="s">
        <v>295</v>
      </c>
      <c r="B120" s="11" t="s">
        <v>296</v>
      </c>
    </row>
    <row r="121" spans="1:2" x14ac:dyDescent="0.25">
      <c r="A121" s="11" t="s">
        <v>297</v>
      </c>
      <c r="B121" s="11" t="s">
        <v>298</v>
      </c>
    </row>
    <row r="122" spans="1:2" x14ac:dyDescent="0.25">
      <c r="A122" s="11" t="s">
        <v>299</v>
      </c>
      <c r="B122" s="11" t="s">
        <v>300</v>
      </c>
    </row>
    <row r="123" spans="1:2" x14ac:dyDescent="0.25">
      <c r="A123" s="11" t="s">
        <v>301</v>
      </c>
      <c r="B123" s="11" t="s">
        <v>302</v>
      </c>
    </row>
    <row r="124" spans="1:2" x14ac:dyDescent="0.25">
      <c r="A124" s="11" t="s">
        <v>303</v>
      </c>
      <c r="B124" s="11" t="s">
        <v>304</v>
      </c>
    </row>
    <row r="125" spans="1:2" x14ac:dyDescent="0.25">
      <c r="A125" s="11" t="s">
        <v>305</v>
      </c>
      <c r="B125" s="11" t="s">
        <v>306</v>
      </c>
    </row>
    <row r="126" spans="1:2" x14ac:dyDescent="0.25">
      <c r="A126" s="11" t="s">
        <v>307</v>
      </c>
      <c r="B126" s="11" t="s">
        <v>308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K1807"/>
  <sheetViews>
    <sheetView tabSelected="1" zoomScaleNormal="100" workbookViewId="0">
      <pane ySplit="2" topLeftCell="A3" activePane="bottomLeft" state="frozen"/>
      <selection pane="bottomLeft" activeCell="E1807" sqref="E1807"/>
    </sheetView>
  </sheetViews>
  <sheetFormatPr defaultColWidth="11.42578125" defaultRowHeight="12.75" x14ac:dyDescent="0.2"/>
  <cols>
    <col min="1" max="1" width="16.42578125" style="1" bestFit="1" customWidth="1"/>
    <col min="2" max="2" width="60.7109375" style="9" customWidth="1"/>
    <col min="3" max="3" width="9.5703125" style="1" bestFit="1" customWidth="1"/>
    <col min="4" max="4" width="22.140625" style="20" customWidth="1"/>
    <col min="5" max="5" width="12" style="3" customWidth="1"/>
    <col min="6" max="6" width="44.85546875" style="1" bestFit="1" customWidth="1"/>
    <col min="7" max="7" width="16" style="1" customWidth="1"/>
    <col min="8" max="8" width="24.28515625" style="1" customWidth="1"/>
    <col min="9" max="9" width="40.7109375" style="4" customWidth="1"/>
    <col min="10" max="16384" width="11.42578125" style="1"/>
  </cols>
  <sheetData>
    <row r="1" spans="1:167" s="2" customFormat="1" ht="22.5" customHeight="1" x14ac:dyDescent="0.2">
      <c r="A1" s="55" t="s">
        <v>309</v>
      </c>
      <c r="B1" s="55"/>
      <c r="C1" s="55"/>
      <c r="D1" s="55"/>
      <c r="E1" s="55"/>
      <c r="F1" s="55"/>
      <c r="G1" s="54" t="s">
        <v>310</v>
      </c>
      <c r="H1" s="54"/>
      <c r="I1" s="5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row>
    <row r="2" spans="1:167" s="22" customFormat="1" ht="25.5" x14ac:dyDescent="0.2">
      <c r="A2" s="23" t="s">
        <v>169</v>
      </c>
      <c r="B2" s="23" t="s">
        <v>30</v>
      </c>
      <c r="C2" s="23" t="s">
        <v>311</v>
      </c>
      <c r="D2" s="24" t="s">
        <v>312</v>
      </c>
      <c r="E2" s="23" t="s">
        <v>313</v>
      </c>
      <c r="F2" s="23" t="s">
        <v>314</v>
      </c>
      <c r="G2" s="5" t="s">
        <v>315</v>
      </c>
      <c r="H2" s="5" t="s">
        <v>316</v>
      </c>
      <c r="I2" s="5" t="s">
        <v>317</v>
      </c>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row>
    <row r="3" spans="1:167" x14ac:dyDescent="0.2">
      <c r="A3" s="35" t="str">
        <f>HYPERLINK("https://mississippidhs.jamacloud.com/perspective.req?projectId=53&amp;docId=27922","LSRP-SHRQ-1")</f>
        <v>LSRP-SHRQ-1</v>
      </c>
      <c r="B3" s="8" t="s">
        <v>318</v>
      </c>
      <c r="C3" s="35" t="s">
        <v>319</v>
      </c>
      <c r="D3" s="36" t="s">
        <v>320</v>
      </c>
      <c r="E3" s="37" t="s">
        <v>779</v>
      </c>
      <c r="F3" s="35" t="s">
        <v>322</v>
      </c>
      <c r="G3" s="6"/>
      <c r="H3" s="6"/>
      <c r="I3" s="11"/>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row>
    <row r="4" spans="1:167" ht="38.25" x14ac:dyDescent="0.2">
      <c r="A4" s="35" t="str">
        <f>HYPERLINK("https://mississippidhs.jamacloud.com/perspective.req?projectId=53&amp;docId=27923","LSRP-SHRQ-2")</f>
        <v>LSRP-SHRQ-2</v>
      </c>
      <c r="B4" s="8" t="s">
        <v>323</v>
      </c>
      <c r="C4" s="35" t="s">
        <v>319</v>
      </c>
      <c r="D4" s="36" t="s">
        <v>320</v>
      </c>
      <c r="E4" s="37" t="s">
        <v>779</v>
      </c>
      <c r="F4" s="35" t="s">
        <v>322</v>
      </c>
      <c r="G4" s="6"/>
      <c r="H4" s="6"/>
      <c r="I4" s="11"/>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row>
    <row r="5" spans="1:167" ht="51" x14ac:dyDescent="0.2">
      <c r="A5" s="35" t="str">
        <f>HYPERLINK("https://mississippidhs.jamacloud.com/perspective.req?projectId=53&amp;docId=27924","LSRP-SHRQ-3")</f>
        <v>LSRP-SHRQ-3</v>
      </c>
      <c r="B5" s="8" t="s">
        <v>324</v>
      </c>
      <c r="C5" s="35" t="s">
        <v>319</v>
      </c>
      <c r="D5" s="36" t="s">
        <v>320</v>
      </c>
      <c r="E5" s="37" t="s">
        <v>779</v>
      </c>
      <c r="F5" s="35" t="s">
        <v>322</v>
      </c>
      <c r="G5" s="6"/>
      <c r="H5" s="6"/>
      <c r="I5" s="11"/>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row>
    <row r="6" spans="1:167" ht="25.5" x14ac:dyDescent="0.2">
      <c r="A6" s="35" t="str">
        <f>HYPERLINK("https://mississippidhs.jamacloud.com/perspective.req?projectId=53&amp;docId=27925","LSRP-SHRQ-4")</f>
        <v>LSRP-SHRQ-4</v>
      </c>
      <c r="B6" s="8" t="s">
        <v>325</v>
      </c>
      <c r="C6" s="35" t="s">
        <v>319</v>
      </c>
      <c r="D6" s="36" t="s">
        <v>320</v>
      </c>
      <c r="E6" s="37" t="s">
        <v>779</v>
      </c>
      <c r="F6" s="35" t="s">
        <v>322</v>
      </c>
      <c r="G6" s="6"/>
      <c r="H6" s="6"/>
      <c r="I6" s="11"/>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row>
    <row r="7" spans="1:167" ht="38.25" x14ac:dyDescent="0.2">
      <c r="A7" s="35" t="str">
        <f>HYPERLINK("https://mississippidhs.jamacloud.com/perspective.req?projectId=53&amp;docId=27926","LSRP-SHRQ-5")</f>
        <v>LSRP-SHRQ-5</v>
      </c>
      <c r="B7" s="8" t="s">
        <v>326</v>
      </c>
      <c r="C7" s="35" t="s">
        <v>319</v>
      </c>
      <c r="D7" s="36" t="s">
        <v>320</v>
      </c>
      <c r="E7" s="37" t="s">
        <v>779</v>
      </c>
      <c r="F7" s="35" t="s">
        <v>322</v>
      </c>
      <c r="G7" s="6"/>
      <c r="H7" s="6"/>
      <c r="I7" s="11"/>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row>
    <row r="8" spans="1:167" ht="38.25" x14ac:dyDescent="0.2">
      <c r="A8" s="35" t="str">
        <f>HYPERLINK("https://mississippidhs.jamacloud.com/perspective.req?projectId=53&amp;docId=27927","LSRP-SHRQ-6")</f>
        <v>LSRP-SHRQ-6</v>
      </c>
      <c r="B8" s="8" t="s">
        <v>327</v>
      </c>
      <c r="C8" s="35" t="s">
        <v>319</v>
      </c>
      <c r="D8" s="36" t="s">
        <v>320</v>
      </c>
      <c r="E8" s="37" t="s">
        <v>779</v>
      </c>
      <c r="F8" s="35" t="s">
        <v>322</v>
      </c>
      <c r="G8" s="6"/>
      <c r="H8" s="6"/>
      <c r="I8" s="11"/>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row>
    <row r="9" spans="1:167" ht="38.25" x14ac:dyDescent="0.2">
      <c r="A9" s="35" t="str">
        <f>HYPERLINK("https://mississippidhs.jamacloud.com/perspective.req?projectId=53&amp;docId=27928","LSRP-SHRQ-7")</f>
        <v>LSRP-SHRQ-7</v>
      </c>
      <c r="B9" s="8" t="s">
        <v>328</v>
      </c>
      <c r="C9" s="35" t="s">
        <v>319</v>
      </c>
      <c r="D9" s="36" t="s">
        <v>320</v>
      </c>
      <c r="E9" s="37" t="s">
        <v>779</v>
      </c>
      <c r="F9" s="35" t="s">
        <v>322</v>
      </c>
      <c r="G9" s="6"/>
      <c r="H9" s="6"/>
      <c r="I9" s="11"/>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row>
    <row r="10" spans="1:167" ht="63.75" x14ac:dyDescent="0.2">
      <c r="A10" s="35" t="str">
        <f>HYPERLINK("https://mississippidhs.jamacloud.com/perspective.req?projectId=53&amp;docId=27929","LSRP-SHRQ-8")</f>
        <v>LSRP-SHRQ-8</v>
      </c>
      <c r="B10" s="8" t="s">
        <v>329</v>
      </c>
      <c r="C10" s="35" t="s">
        <v>319</v>
      </c>
      <c r="D10" s="36" t="s">
        <v>320</v>
      </c>
      <c r="E10" s="37" t="s">
        <v>779</v>
      </c>
      <c r="F10" s="35" t="s">
        <v>322</v>
      </c>
      <c r="G10" s="6"/>
      <c r="H10" s="6"/>
      <c r="I10" s="11"/>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row>
    <row r="11" spans="1:167" ht="38.25" x14ac:dyDescent="0.2">
      <c r="A11" s="35" t="str">
        <f>HYPERLINK("https://mississippidhs.jamacloud.com/perspective.req?projectId=53&amp;docId=27930","LSRP-SHRQ-9")</f>
        <v>LSRP-SHRQ-9</v>
      </c>
      <c r="B11" s="8" t="s">
        <v>330</v>
      </c>
      <c r="C11" s="35" t="s">
        <v>319</v>
      </c>
      <c r="D11" s="36" t="s">
        <v>320</v>
      </c>
      <c r="E11" s="37" t="s">
        <v>779</v>
      </c>
      <c r="F11" s="35" t="s">
        <v>322</v>
      </c>
      <c r="G11" s="6"/>
      <c r="H11" s="6"/>
      <c r="I11" s="11"/>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row>
    <row r="12" spans="1:167" ht="38.25" x14ac:dyDescent="0.2">
      <c r="A12" s="35" t="str">
        <f>HYPERLINK("https://mississippidhs.jamacloud.com/perspective.req?projectId=53&amp;docId=27931","LSRP-SHRQ-10")</f>
        <v>LSRP-SHRQ-10</v>
      </c>
      <c r="B12" s="8" t="s">
        <v>331</v>
      </c>
      <c r="C12" s="35" t="s">
        <v>319</v>
      </c>
      <c r="D12" s="36" t="s">
        <v>320</v>
      </c>
      <c r="E12" s="37" t="s">
        <v>779</v>
      </c>
      <c r="F12" s="35" t="s">
        <v>322</v>
      </c>
      <c r="G12" s="6"/>
      <c r="H12" s="6"/>
      <c r="I12" s="11"/>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row>
    <row r="13" spans="1:167" ht="38.25" x14ac:dyDescent="0.2">
      <c r="A13" s="35" t="str">
        <f>HYPERLINK("https://mississippidhs.jamacloud.com/perspective.req?projectId=53&amp;docId=27932","LSRP-SHRQ-11")</f>
        <v>LSRP-SHRQ-11</v>
      </c>
      <c r="B13" s="8" t="s">
        <v>332</v>
      </c>
      <c r="C13" s="35" t="s">
        <v>319</v>
      </c>
      <c r="D13" s="36" t="s">
        <v>320</v>
      </c>
      <c r="E13" s="37" t="s">
        <v>779</v>
      </c>
      <c r="F13" s="35" t="s">
        <v>322</v>
      </c>
      <c r="G13" s="6"/>
      <c r="H13" s="6"/>
      <c r="I13" s="11"/>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row>
    <row r="14" spans="1:167" ht="38.25" x14ac:dyDescent="0.2">
      <c r="A14" s="35" t="str">
        <f>HYPERLINK("https://mississippidhs.jamacloud.com/perspective.req?projectId=53&amp;docId=27933","LSRP-SHRQ-12")</f>
        <v>LSRP-SHRQ-12</v>
      </c>
      <c r="B14" s="8" t="s">
        <v>333</v>
      </c>
      <c r="C14" s="35" t="s">
        <v>319</v>
      </c>
      <c r="D14" s="36" t="s">
        <v>320</v>
      </c>
      <c r="E14" s="37" t="s">
        <v>779</v>
      </c>
      <c r="F14" s="35" t="s">
        <v>322</v>
      </c>
      <c r="G14" s="6"/>
      <c r="H14" s="6"/>
      <c r="I14" s="11"/>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row>
    <row r="15" spans="1:167" ht="38.25" x14ac:dyDescent="0.2">
      <c r="A15" s="35" t="str">
        <f>HYPERLINK("https://mississippidhs.jamacloud.com/perspective.req?projectId=53&amp;docId=27934","LSRP-SHRQ-13")</f>
        <v>LSRP-SHRQ-13</v>
      </c>
      <c r="B15" s="8" t="s">
        <v>334</v>
      </c>
      <c r="C15" s="35" t="s">
        <v>319</v>
      </c>
      <c r="D15" s="36" t="s">
        <v>320</v>
      </c>
      <c r="E15" s="37" t="s">
        <v>779</v>
      </c>
      <c r="F15" s="35" t="s">
        <v>322</v>
      </c>
      <c r="G15" s="6"/>
      <c r="H15" s="6"/>
      <c r="I15" s="11"/>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row>
    <row r="16" spans="1:167" ht="25.5" x14ac:dyDescent="0.2">
      <c r="A16" s="35" t="str">
        <f>HYPERLINK("https://mississippidhs.jamacloud.com/perspective.req?projectId=53&amp;docId=27935","LSRP-SHRQ-14")</f>
        <v>LSRP-SHRQ-14</v>
      </c>
      <c r="B16" s="8" t="s">
        <v>335</v>
      </c>
      <c r="C16" s="35" t="s">
        <v>319</v>
      </c>
      <c r="D16" s="36" t="s">
        <v>320</v>
      </c>
      <c r="E16" s="37" t="s">
        <v>779</v>
      </c>
      <c r="F16" s="35" t="s">
        <v>322</v>
      </c>
      <c r="G16" s="6"/>
      <c r="H16" s="6"/>
      <c r="I16" s="11"/>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row>
    <row r="17" spans="1:9" ht="38.25" x14ac:dyDescent="0.2">
      <c r="A17" s="35" t="str">
        <f>HYPERLINK("https://mississippidhs.jamacloud.com/perspective.req?projectId=53&amp;docId=27936","LSRP-SHRQ-15")</f>
        <v>LSRP-SHRQ-15</v>
      </c>
      <c r="B17" s="8" t="s">
        <v>336</v>
      </c>
      <c r="C17" s="35" t="s">
        <v>319</v>
      </c>
      <c r="D17" s="36" t="s">
        <v>320</v>
      </c>
      <c r="E17" s="37" t="s">
        <v>779</v>
      </c>
      <c r="F17" s="35" t="s">
        <v>322</v>
      </c>
      <c r="G17" s="6"/>
      <c r="H17" s="6"/>
      <c r="I17" s="11"/>
    </row>
    <row r="18" spans="1:9" ht="25.5" x14ac:dyDescent="0.2">
      <c r="A18" s="35" t="str">
        <f>HYPERLINK("https://mississippidhs.jamacloud.com/perspective.req?projectId=53&amp;docId=27937","LSRP-SHRQ-16")</f>
        <v>LSRP-SHRQ-16</v>
      </c>
      <c r="B18" s="8" t="s">
        <v>337</v>
      </c>
      <c r="C18" s="35" t="s">
        <v>319</v>
      </c>
      <c r="D18" s="36" t="s">
        <v>320</v>
      </c>
      <c r="E18" s="37" t="s">
        <v>779</v>
      </c>
      <c r="F18" s="35" t="s">
        <v>322</v>
      </c>
      <c r="G18" s="6"/>
      <c r="H18" s="6"/>
      <c r="I18" s="11"/>
    </row>
    <row r="19" spans="1:9" ht="38.25" x14ac:dyDescent="0.2">
      <c r="A19" s="35" t="str">
        <f>HYPERLINK("https://mississippidhs.jamacloud.com/perspective.req?projectId=53&amp;docId=27938","LSRP-SHRQ-17")</f>
        <v>LSRP-SHRQ-17</v>
      </c>
      <c r="B19" s="8" t="s">
        <v>338</v>
      </c>
      <c r="C19" s="35" t="s">
        <v>319</v>
      </c>
      <c r="D19" s="36" t="s">
        <v>320</v>
      </c>
      <c r="E19" s="37" t="s">
        <v>779</v>
      </c>
      <c r="F19" s="35" t="s">
        <v>322</v>
      </c>
      <c r="G19" s="6"/>
      <c r="H19" s="6"/>
      <c r="I19" s="11"/>
    </row>
    <row r="20" spans="1:9" ht="63.75" x14ac:dyDescent="0.2">
      <c r="A20" s="35" t="str">
        <f>HYPERLINK("https://mississippidhs.jamacloud.com/perspective.req?projectId=53&amp;docId=27939","LSRP-SHRQ-18")</f>
        <v>LSRP-SHRQ-18</v>
      </c>
      <c r="B20" s="8" t="s">
        <v>339</v>
      </c>
      <c r="C20" s="35" t="s">
        <v>319</v>
      </c>
      <c r="D20" s="36" t="s">
        <v>320</v>
      </c>
      <c r="E20" s="37" t="s">
        <v>779</v>
      </c>
      <c r="F20" s="35" t="s">
        <v>322</v>
      </c>
      <c r="G20" s="6"/>
      <c r="H20" s="6"/>
      <c r="I20" s="11"/>
    </row>
    <row r="21" spans="1:9" ht="38.25" x14ac:dyDescent="0.2">
      <c r="A21" s="35" t="str">
        <f>HYPERLINK("https://mississippidhs.jamacloud.com/perspective.req?projectId=53&amp;docId=27940","LSRP-SHRQ-19")</f>
        <v>LSRP-SHRQ-19</v>
      </c>
      <c r="B21" s="8" t="s">
        <v>340</v>
      </c>
      <c r="C21" s="35" t="s">
        <v>319</v>
      </c>
      <c r="D21" s="36" t="s">
        <v>320</v>
      </c>
      <c r="E21" s="37" t="s">
        <v>779</v>
      </c>
      <c r="F21" s="35" t="s">
        <v>322</v>
      </c>
      <c r="G21" s="6"/>
      <c r="H21" s="6"/>
      <c r="I21" s="11"/>
    </row>
    <row r="22" spans="1:9" ht="38.25" x14ac:dyDescent="0.2">
      <c r="A22" s="35" t="str">
        <f>HYPERLINK("https://mississippidhs.jamacloud.com/perspective.req?projectId=53&amp;docId=27941","LSRP-SHRQ-20")</f>
        <v>LSRP-SHRQ-20</v>
      </c>
      <c r="B22" s="8" t="s">
        <v>341</v>
      </c>
      <c r="C22" s="35" t="s">
        <v>319</v>
      </c>
      <c r="D22" s="36" t="s">
        <v>320</v>
      </c>
      <c r="E22" s="37" t="s">
        <v>779</v>
      </c>
      <c r="F22" s="35" t="s">
        <v>322</v>
      </c>
      <c r="G22" s="6"/>
      <c r="H22" s="6"/>
      <c r="I22" s="11"/>
    </row>
    <row r="23" spans="1:9" ht="38.25" x14ac:dyDescent="0.2">
      <c r="A23" s="35" t="str">
        <f>HYPERLINK("https://mississippidhs.jamacloud.com/perspective.req?projectId=53&amp;docId=27942","LSRP-SHRQ-21")</f>
        <v>LSRP-SHRQ-21</v>
      </c>
      <c r="B23" s="8" t="s">
        <v>342</v>
      </c>
      <c r="C23" s="35" t="s">
        <v>319</v>
      </c>
      <c r="D23" s="36" t="s">
        <v>320</v>
      </c>
      <c r="E23" s="37" t="s">
        <v>779</v>
      </c>
      <c r="F23" s="35" t="s">
        <v>322</v>
      </c>
      <c r="G23" s="6"/>
      <c r="H23" s="6"/>
      <c r="I23" s="11"/>
    </row>
    <row r="24" spans="1:9" ht="14.25" x14ac:dyDescent="0.2">
      <c r="A24" s="35" t="str">
        <f>HYPERLINK("https://mississippidhs.jamacloud.com/perspective.req?projectId=53&amp;docId=27943","LSRP-SHRQ-22")</f>
        <v>LSRP-SHRQ-22</v>
      </c>
      <c r="B24" s="8" t="s">
        <v>343</v>
      </c>
      <c r="C24" s="35" t="s">
        <v>319</v>
      </c>
      <c r="D24" s="36" t="s">
        <v>320</v>
      </c>
      <c r="E24" s="37" t="s">
        <v>779</v>
      </c>
      <c r="F24" s="35" t="s">
        <v>322</v>
      </c>
      <c r="G24" s="7"/>
      <c r="H24" s="7"/>
      <c r="I24" s="12"/>
    </row>
    <row r="25" spans="1:9" ht="25.5" x14ac:dyDescent="0.2">
      <c r="A25" s="35" t="str">
        <f>HYPERLINK("https://mississippidhs.jamacloud.com/perspective.req?projectId=53&amp;docId=27944","LSRP-SHRQ-23")</f>
        <v>LSRP-SHRQ-23</v>
      </c>
      <c r="B25" s="8" t="s">
        <v>344</v>
      </c>
      <c r="C25" s="35" t="s">
        <v>319</v>
      </c>
      <c r="D25" s="36" t="s">
        <v>320</v>
      </c>
      <c r="E25" s="37" t="s">
        <v>779</v>
      </c>
      <c r="F25" s="35" t="s">
        <v>322</v>
      </c>
      <c r="G25" s="7"/>
      <c r="H25" s="7"/>
      <c r="I25" s="12"/>
    </row>
    <row r="26" spans="1:9" ht="38.25" x14ac:dyDescent="0.2">
      <c r="A26" s="35" t="str">
        <f>HYPERLINK("https://mississippidhs.jamacloud.com/perspective.req?projectId=53&amp;docId=27945","LSRP-SHRQ-24")</f>
        <v>LSRP-SHRQ-24</v>
      </c>
      <c r="B26" s="8" t="s">
        <v>345</v>
      </c>
      <c r="C26" s="35" t="s">
        <v>319</v>
      </c>
      <c r="D26" s="36" t="s">
        <v>320</v>
      </c>
      <c r="E26" s="37" t="s">
        <v>779</v>
      </c>
      <c r="F26" s="35" t="s">
        <v>322</v>
      </c>
      <c r="G26" s="7"/>
      <c r="H26" s="7"/>
      <c r="I26" s="12"/>
    </row>
    <row r="27" spans="1:9" ht="38.25" x14ac:dyDescent="0.2">
      <c r="A27" s="35" t="str">
        <f>HYPERLINK("https://mississippidhs.jamacloud.com/perspective.req?projectId=53&amp;docId=27946","LSRP-SHRQ-25")</f>
        <v>LSRP-SHRQ-25</v>
      </c>
      <c r="B27" s="8" t="s">
        <v>346</v>
      </c>
      <c r="C27" s="35" t="s">
        <v>319</v>
      </c>
      <c r="D27" s="36" t="s">
        <v>320</v>
      </c>
      <c r="E27" s="37" t="s">
        <v>779</v>
      </c>
      <c r="F27" s="35" t="s">
        <v>322</v>
      </c>
      <c r="G27" s="7"/>
      <c r="H27" s="7"/>
      <c r="I27" s="12"/>
    </row>
    <row r="28" spans="1:9" ht="38.25" x14ac:dyDescent="0.2">
      <c r="A28" s="35" t="str">
        <f>HYPERLINK("https://mississippidhs.jamacloud.com/perspective.req?projectId=53&amp;docId=27947","LSRP-SHRQ-26")</f>
        <v>LSRP-SHRQ-26</v>
      </c>
      <c r="B28" s="8" t="s">
        <v>347</v>
      </c>
      <c r="C28" s="35" t="s">
        <v>319</v>
      </c>
      <c r="D28" s="36" t="s">
        <v>320</v>
      </c>
      <c r="E28" s="37" t="s">
        <v>779</v>
      </c>
      <c r="F28" s="35" t="s">
        <v>322</v>
      </c>
      <c r="G28" s="7"/>
      <c r="H28" s="7"/>
      <c r="I28" s="12"/>
    </row>
    <row r="29" spans="1:9" ht="25.5" x14ac:dyDescent="0.2">
      <c r="A29" s="35" t="str">
        <f>HYPERLINK("https://mississippidhs.jamacloud.com/perspective.req?projectId=53&amp;docId=27948","LSRP-SHRQ-27")</f>
        <v>LSRP-SHRQ-27</v>
      </c>
      <c r="B29" s="8" t="s">
        <v>348</v>
      </c>
      <c r="C29" s="35" t="s">
        <v>319</v>
      </c>
      <c r="D29" s="36" t="s">
        <v>320</v>
      </c>
      <c r="E29" s="37" t="s">
        <v>779</v>
      </c>
      <c r="F29" s="35" t="s">
        <v>322</v>
      </c>
      <c r="G29" s="7"/>
      <c r="H29" s="7"/>
      <c r="I29" s="12"/>
    </row>
    <row r="30" spans="1:9" ht="14.25" x14ac:dyDescent="0.2">
      <c r="A30" s="35" t="str">
        <f>HYPERLINK("https://mississippidhs.jamacloud.com/perspective.req?projectId=53&amp;docId=27949","LSRP-SHRQ-28")</f>
        <v>LSRP-SHRQ-28</v>
      </c>
      <c r="B30" s="8" t="s">
        <v>349</v>
      </c>
      <c r="C30" s="35" t="s">
        <v>319</v>
      </c>
      <c r="D30" s="36" t="s">
        <v>320</v>
      </c>
      <c r="E30" s="37" t="s">
        <v>779</v>
      </c>
      <c r="F30" s="35" t="s">
        <v>322</v>
      </c>
      <c r="G30" s="7"/>
      <c r="H30" s="7"/>
      <c r="I30" s="12"/>
    </row>
    <row r="31" spans="1:9" ht="25.5" x14ac:dyDescent="0.2">
      <c r="A31" s="35" t="str">
        <f>HYPERLINK("https://mississippidhs.jamacloud.com/perspective.req?projectId=53&amp;docId=27950","LSRP-SHRQ-29")</f>
        <v>LSRP-SHRQ-29</v>
      </c>
      <c r="B31" s="8" t="s">
        <v>350</v>
      </c>
      <c r="C31" s="35" t="s">
        <v>319</v>
      </c>
      <c r="D31" s="36" t="s">
        <v>320</v>
      </c>
      <c r="E31" s="37" t="s">
        <v>779</v>
      </c>
      <c r="F31" s="35" t="s">
        <v>322</v>
      </c>
      <c r="G31" s="7"/>
      <c r="H31" s="7"/>
      <c r="I31" s="12"/>
    </row>
    <row r="32" spans="1:9" ht="25.5" x14ac:dyDescent="0.2">
      <c r="A32" s="35" t="str">
        <f>HYPERLINK("https://mississippidhs.jamacloud.com/perspective.req?projectId=53&amp;docId=27951","LSRP-SHRQ-30")</f>
        <v>LSRP-SHRQ-30</v>
      </c>
      <c r="B32" s="8" t="s">
        <v>351</v>
      </c>
      <c r="C32" s="35" t="s">
        <v>319</v>
      </c>
      <c r="D32" s="36" t="s">
        <v>320</v>
      </c>
      <c r="E32" s="37" t="s">
        <v>779</v>
      </c>
      <c r="F32" s="35" t="s">
        <v>322</v>
      </c>
      <c r="G32" s="7"/>
      <c r="H32" s="7"/>
      <c r="I32" s="12"/>
    </row>
    <row r="33" spans="1:9" ht="25.5" x14ac:dyDescent="0.2">
      <c r="A33" s="35" t="str">
        <f>HYPERLINK("https://mississippidhs.jamacloud.com/perspective.req?projectId=53&amp;docId=27952","LSRP-SHRQ-31")</f>
        <v>LSRP-SHRQ-31</v>
      </c>
      <c r="B33" s="8" t="s">
        <v>352</v>
      </c>
      <c r="C33" s="35" t="s">
        <v>319</v>
      </c>
      <c r="D33" s="36" t="s">
        <v>320</v>
      </c>
      <c r="E33" s="37" t="s">
        <v>779</v>
      </c>
      <c r="F33" s="35" t="s">
        <v>322</v>
      </c>
      <c r="G33" s="7"/>
      <c r="H33" s="7"/>
      <c r="I33" s="12"/>
    </row>
    <row r="34" spans="1:9" ht="25.5" x14ac:dyDescent="0.2">
      <c r="A34" s="35" t="str">
        <f>HYPERLINK("https://mississippidhs.jamacloud.com/perspective.req?projectId=53&amp;docId=27953","LSRP-SHRQ-32")</f>
        <v>LSRP-SHRQ-32</v>
      </c>
      <c r="B34" s="8" t="s">
        <v>353</v>
      </c>
      <c r="C34" s="35" t="s">
        <v>319</v>
      </c>
      <c r="D34" s="36" t="s">
        <v>320</v>
      </c>
      <c r="E34" s="37" t="s">
        <v>779</v>
      </c>
      <c r="F34" s="35" t="s">
        <v>322</v>
      </c>
      <c r="G34" s="7"/>
      <c r="H34" s="7"/>
      <c r="I34" s="12"/>
    </row>
    <row r="35" spans="1:9" ht="25.5" x14ac:dyDescent="0.2">
      <c r="A35" s="35" t="str">
        <f>HYPERLINK("https://mississippidhs.jamacloud.com/perspective.req?projectId=53&amp;docId=27954","LSRP-SHRQ-33")</f>
        <v>LSRP-SHRQ-33</v>
      </c>
      <c r="B35" s="8" t="s">
        <v>354</v>
      </c>
      <c r="C35" s="35" t="s">
        <v>319</v>
      </c>
      <c r="D35" s="36" t="s">
        <v>320</v>
      </c>
      <c r="E35" s="37" t="s">
        <v>779</v>
      </c>
      <c r="F35" s="35" t="s">
        <v>322</v>
      </c>
      <c r="G35" s="7"/>
      <c r="H35" s="7"/>
      <c r="I35" s="12"/>
    </row>
    <row r="36" spans="1:9" ht="25.5" x14ac:dyDescent="0.2">
      <c r="A36" s="35" t="str">
        <f>HYPERLINK("https://mississippidhs.jamacloud.com/perspective.req?projectId=53&amp;docId=27955","LSRP-SHRQ-34")</f>
        <v>LSRP-SHRQ-34</v>
      </c>
      <c r="B36" s="8" t="s">
        <v>355</v>
      </c>
      <c r="C36" s="35" t="s">
        <v>319</v>
      </c>
      <c r="D36" s="36" t="s">
        <v>320</v>
      </c>
      <c r="E36" s="37" t="s">
        <v>779</v>
      </c>
      <c r="F36" s="35" t="s">
        <v>322</v>
      </c>
      <c r="G36" s="7"/>
      <c r="H36" s="7"/>
      <c r="I36" s="12"/>
    </row>
    <row r="37" spans="1:9" ht="25.5" x14ac:dyDescent="0.2">
      <c r="A37" s="35" t="str">
        <f>HYPERLINK("https://mississippidhs.jamacloud.com/perspective.req?projectId=53&amp;docId=27956","LSRP-SHRQ-35")</f>
        <v>LSRP-SHRQ-35</v>
      </c>
      <c r="B37" s="8" t="s">
        <v>356</v>
      </c>
      <c r="C37" s="35" t="s">
        <v>319</v>
      </c>
      <c r="D37" s="36" t="s">
        <v>320</v>
      </c>
      <c r="E37" s="37" t="s">
        <v>779</v>
      </c>
      <c r="F37" s="35" t="s">
        <v>322</v>
      </c>
      <c r="G37" s="7"/>
      <c r="H37" s="7"/>
      <c r="I37" s="12"/>
    </row>
    <row r="38" spans="1:9" ht="25.5" x14ac:dyDescent="0.2">
      <c r="A38" s="35" t="str">
        <f>HYPERLINK("https://mississippidhs.jamacloud.com/perspective.req?projectId=53&amp;docId=27957","LSRP-SHRQ-36")</f>
        <v>LSRP-SHRQ-36</v>
      </c>
      <c r="B38" s="8" t="s">
        <v>357</v>
      </c>
      <c r="C38" s="35" t="s">
        <v>319</v>
      </c>
      <c r="D38" s="36" t="s">
        <v>320</v>
      </c>
      <c r="E38" s="37" t="s">
        <v>779</v>
      </c>
      <c r="F38" s="35" t="s">
        <v>322</v>
      </c>
      <c r="G38" s="7"/>
      <c r="H38" s="7"/>
      <c r="I38" s="12"/>
    </row>
    <row r="39" spans="1:9" ht="25.5" x14ac:dyDescent="0.2">
      <c r="A39" s="35" t="str">
        <f>HYPERLINK("https://mississippidhs.jamacloud.com/perspective.req?projectId=53&amp;docId=27958","LSRP-SHRQ-37")</f>
        <v>LSRP-SHRQ-37</v>
      </c>
      <c r="B39" s="8" t="s">
        <v>358</v>
      </c>
      <c r="C39" s="35" t="s">
        <v>319</v>
      </c>
      <c r="D39" s="36" t="s">
        <v>320</v>
      </c>
      <c r="E39" s="37" t="s">
        <v>779</v>
      </c>
      <c r="F39" s="35" t="s">
        <v>322</v>
      </c>
      <c r="G39" s="7"/>
      <c r="H39" s="7"/>
      <c r="I39" s="12"/>
    </row>
    <row r="40" spans="1:9" ht="25.5" x14ac:dyDescent="0.2">
      <c r="A40" s="35" t="str">
        <f>HYPERLINK("https://mississippidhs.jamacloud.com/perspective.req?projectId=53&amp;docId=27959","LSRP-SHRQ-38")</f>
        <v>LSRP-SHRQ-38</v>
      </c>
      <c r="B40" s="8" t="s">
        <v>359</v>
      </c>
      <c r="C40" s="35" t="s">
        <v>319</v>
      </c>
      <c r="D40" s="36" t="s">
        <v>320</v>
      </c>
      <c r="E40" s="37" t="s">
        <v>779</v>
      </c>
      <c r="F40" s="35" t="s">
        <v>322</v>
      </c>
      <c r="G40" s="7"/>
      <c r="H40" s="7"/>
      <c r="I40" s="12"/>
    </row>
    <row r="41" spans="1:9" ht="25.5" x14ac:dyDescent="0.2">
      <c r="A41" s="35" t="str">
        <f>HYPERLINK("https://mississippidhs.jamacloud.com/perspective.req?projectId=53&amp;docId=27960","LSRP-SHRQ-39")</f>
        <v>LSRP-SHRQ-39</v>
      </c>
      <c r="B41" s="8" t="s">
        <v>360</v>
      </c>
      <c r="C41" s="35" t="s">
        <v>319</v>
      </c>
      <c r="D41" s="36" t="s">
        <v>320</v>
      </c>
      <c r="E41" s="37" t="s">
        <v>779</v>
      </c>
      <c r="F41" s="35" t="s">
        <v>322</v>
      </c>
      <c r="G41" s="7"/>
      <c r="H41" s="7"/>
      <c r="I41" s="12"/>
    </row>
    <row r="42" spans="1:9" ht="25.5" x14ac:dyDescent="0.2">
      <c r="A42" s="35" t="str">
        <f>HYPERLINK("https://mississippidhs.jamacloud.com/perspective.req?projectId=53&amp;docId=27961","LSRP-SHRQ-40")</f>
        <v>LSRP-SHRQ-40</v>
      </c>
      <c r="B42" s="8" t="s">
        <v>361</v>
      </c>
      <c r="C42" s="35" t="s">
        <v>319</v>
      </c>
      <c r="D42" s="36" t="s">
        <v>320</v>
      </c>
      <c r="E42" s="37" t="s">
        <v>779</v>
      </c>
      <c r="F42" s="35" t="s">
        <v>322</v>
      </c>
      <c r="G42" s="7"/>
      <c r="H42" s="7"/>
      <c r="I42" s="12"/>
    </row>
    <row r="43" spans="1:9" ht="25.5" x14ac:dyDescent="0.2">
      <c r="A43" s="35" t="str">
        <f>HYPERLINK("https://mississippidhs.jamacloud.com/perspective.req?projectId=53&amp;docId=27962","LSRP-SHRQ-41")</f>
        <v>LSRP-SHRQ-41</v>
      </c>
      <c r="B43" s="8" t="s">
        <v>362</v>
      </c>
      <c r="C43" s="35" t="s">
        <v>319</v>
      </c>
      <c r="D43" s="36" t="s">
        <v>320</v>
      </c>
      <c r="E43" s="37" t="s">
        <v>779</v>
      </c>
      <c r="F43" s="35" t="s">
        <v>322</v>
      </c>
      <c r="G43" s="7"/>
      <c r="H43" s="7"/>
      <c r="I43" s="12"/>
    </row>
    <row r="44" spans="1:9" ht="25.5" x14ac:dyDescent="0.2">
      <c r="A44" s="35" t="str">
        <f>HYPERLINK("https://mississippidhs.jamacloud.com/perspective.req?projectId=53&amp;docId=27963","LSRP-SHRQ-42")</f>
        <v>LSRP-SHRQ-42</v>
      </c>
      <c r="B44" s="8" t="s">
        <v>363</v>
      </c>
      <c r="C44" s="35" t="s">
        <v>319</v>
      </c>
      <c r="D44" s="36" t="s">
        <v>320</v>
      </c>
      <c r="E44" s="37" t="s">
        <v>779</v>
      </c>
      <c r="F44" s="35" t="s">
        <v>322</v>
      </c>
      <c r="G44" s="7"/>
      <c r="H44" s="7"/>
      <c r="I44" s="12"/>
    </row>
    <row r="45" spans="1:9" ht="25.5" x14ac:dyDescent="0.2">
      <c r="A45" s="35" t="str">
        <f>HYPERLINK("https://mississippidhs.jamacloud.com/perspective.req?projectId=53&amp;docId=27964","LSRP-SHRQ-43")</f>
        <v>LSRP-SHRQ-43</v>
      </c>
      <c r="B45" s="8" t="s">
        <v>364</v>
      </c>
      <c r="C45" s="35" t="s">
        <v>319</v>
      </c>
      <c r="D45" s="36" t="s">
        <v>320</v>
      </c>
      <c r="E45" s="37" t="s">
        <v>779</v>
      </c>
      <c r="F45" s="35" t="s">
        <v>322</v>
      </c>
      <c r="G45" s="7"/>
      <c r="H45" s="7"/>
      <c r="I45" s="12"/>
    </row>
    <row r="46" spans="1:9" ht="25.5" x14ac:dyDescent="0.2">
      <c r="A46" s="35" t="str">
        <f>HYPERLINK("https://mississippidhs.jamacloud.com/perspective.req?projectId=53&amp;docId=27965","LSRP-SHRQ-44")</f>
        <v>LSRP-SHRQ-44</v>
      </c>
      <c r="B46" s="8" t="s">
        <v>365</v>
      </c>
      <c r="C46" s="35" t="s">
        <v>319</v>
      </c>
      <c r="D46" s="36" t="s">
        <v>320</v>
      </c>
      <c r="E46" s="37" t="s">
        <v>779</v>
      </c>
      <c r="F46" s="35" t="s">
        <v>322</v>
      </c>
      <c r="G46" s="7"/>
      <c r="H46" s="7"/>
      <c r="I46" s="12"/>
    </row>
    <row r="47" spans="1:9" ht="14.25" x14ac:dyDescent="0.2">
      <c r="A47" s="35" t="str">
        <f>HYPERLINK("https://mississippidhs.jamacloud.com/perspective.req?projectId=53&amp;docId=27966","LSRP-SHRQ-45")</f>
        <v>LSRP-SHRQ-45</v>
      </c>
      <c r="B47" s="8" t="s">
        <v>366</v>
      </c>
      <c r="C47" s="35" t="s">
        <v>319</v>
      </c>
      <c r="D47" s="36" t="s">
        <v>320</v>
      </c>
      <c r="E47" s="37" t="s">
        <v>779</v>
      </c>
      <c r="F47" s="35" t="s">
        <v>322</v>
      </c>
      <c r="G47" s="7"/>
      <c r="H47" s="7"/>
      <c r="I47" s="12"/>
    </row>
    <row r="48" spans="1:9" ht="14.25" x14ac:dyDescent="0.2">
      <c r="A48" s="35" t="str">
        <f>HYPERLINK("https://mississippidhs.jamacloud.com/perspective.req?projectId=53&amp;docId=27967","LSRP-SHRQ-46")</f>
        <v>LSRP-SHRQ-46</v>
      </c>
      <c r="B48" s="8" t="s">
        <v>367</v>
      </c>
      <c r="C48" s="35" t="s">
        <v>319</v>
      </c>
      <c r="D48" s="36" t="s">
        <v>320</v>
      </c>
      <c r="E48" s="37" t="s">
        <v>779</v>
      </c>
      <c r="F48" s="35" t="s">
        <v>322</v>
      </c>
      <c r="G48" s="7"/>
      <c r="H48" s="7"/>
      <c r="I48" s="12"/>
    </row>
    <row r="49" spans="1:9" ht="25.5" x14ac:dyDescent="0.2">
      <c r="A49" s="35" t="str">
        <f>HYPERLINK("https://mississippidhs.jamacloud.com/perspective.req?projectId=53&amp;docId=27968","LSRP-SHRQ-47")</f>
        <v>LSRP-SHRQ-47</v>
      </c>
      <c r="B49" s="8" t="s">
        <v>368</v>
      </c>
      <c r="C49" s="35" t="s">
        <v>319</v>
      </c>
      <c r="D49" s="36" t="s">
        <v>320</v>
      </c>
      <c r="E49" s="37" t="s">
        <v>779</v>
      </c>
      <c r="F49" s="35" t="s">
        <v>322</v>
      </c>
      <c r="G49" s="7"/>
      <c r="H49" s="7"/>
      <c r="I49" s="12"/>
    </row>
    <row r="50" spans="1:9" ht="25.5" x14ac:dyDescent="0.2">
      <c r="A50" s="35" t="str">
        <f>HYPERLINK("https://mississippidhs.jamacloud.com/perspective.req?projectId=53&amp;docId=27969","LSRP-SHRQ-48")</f>
        <v>LSRP-SHRQ-48</v>
      </c>
      <c r="B50" s="8" t="s">
        <v>369</v>
      </c>
      <c r="C50" s="35" t="s">
        <v>319</v>
      </c>
      <c r="D50" s="36" t="s">
        <v>320</v>
      </c>
      <c r="E50" s="37" t="s">
        <v>779</v>
      </c>
      <c r="F50" s="35" t="s">
        <v>322</v>
      </c>
      <c r="G50" s="7"/>
      <c r="H50" s="7"/>
      <c r="I50" s="12"/>
    </row>
    <row r="51" spans="1:9" ht="25.5" x14ac:dyDescent="0.2">
      <c r="A51" s="35" t="str">
        <f>HYPERLINK("https://mississippidhs.jamacloud.com/perspective.req?projectId=53&amp;docId=27970","LSRP-SHRQ-49")</f>
        <v>LSRP-SHRQ-49</v>
      </c>
      <c r="B51" s="8" t="s">
        <v>370</v>
      </c>
      <c r="C51" s="35" t="s">
        <v>319</v>
      </c>
      <c r="D51" s="36" t="s">
        <v>320</v>
      </c>
      <c r="E51" s="37" t="s">
        <v>779</v>
      </c>
      <c r="F51" s="35" t="s">
        <v>322</v>
      </c>
      <c r="G51" s="7"/>
      <c r="H51" s="7"/>
      <c r="I51" s="12"/>
    </row>
    <row r="52" spans="1:9" ht="25.5" x14ac:dyDescent="0.2">
      <c r="A52" s="35" t="str">
        <f>HYPERLINK("https://mississippidhs.jamacloud.com/perspective.req?projectId=53&amp;docId=27971","LSRP-SHRQ-50")</f>
        <v>LSRP-SHRQ-50</v>
      </c>
      <c r="B52" s="8" t="s">
        <v>371</v>
      </c>
      <c r="C52" s="35" t="s">
        <v>319</v>
      </c>
      <c r="D52" s="36" t="s">
        <v>320</v>
      </c>
      <c r="E52" s="37" t="s">
        <v>779</v>
      </c>
      <c r="F52" s="35" t="s">
        <v>322</v>
      </c>
      <c r="G52" s="7"/>
      <c r="H52" s="7"/>
      <c r="I52" s="12"/>
    </row>
    <row r="53" spans="1:9" ht="38.25" x14ac:dyDescent="0.2">
      <c r="A53" s="35" t="str">
        <f>HYPERLINK("https://mississippidhs.jamacloud.com/perspective.req?projectId=53&amp;docId=27972","LSRP-SHRQ-51")</f>
        <v>LSRP-SHRQ-51</v>
      </c>
      <c r="B53" s="8" t="s">
        <v>372</v>
      </c>
      <c r="C53" s="35" t="s">
        <v>319</v>
      </c>
      <c r="D53" s="36" t="s">
        <v>320</v>
      </c>
      <c r="E53" s="37" t="s">
        <v>779</v>
      </c>
      <c r="F53" s="35" t="s">
        <v>322</v>
      </c>
      <c r="G53" s="7"/>
      <c r="H53" s="7"/>
      <c r="I53" s="12"/>
    </row>
    <row r="54" spans="1:9" ht="38.25" x14ac:dyDescent="0.2">
      <c r="A54" s="35" t="str">
        <f>HYPERLINK("https://mississippidhs.jamacloud.com/perspective.req?projectId=53&amp;docId=27973","LSRP-SHRQ-52")</f>
        <v>LSRP-SHRQ-52</v>
      </c>
      <c r="B54" s="8" t="s">
        <v>373</v>
      </c>
      <c r="C54" s="35" t="s">
        <v>319</v>
      </c>
      <c r="D54" s="36" t="s">
        <v>320</v>
      </c>
      <c r="E54" s="37" t="s">
        <v>779</v>
      </c>
      <c r="F54" s="35" t="s">
        <v>322</v>
      </c>
      <c r="G54" s="7"/>
      <c r="H54" s="7"/>
      <c r="I54" s="12"/>
    </row>
    <row r="55" spans="1:9" ht="38.25" x14ac:dyDescent="0.2">
      <c r="A55" s="35" t="str">
        <f>HYPERLINK("https://mississippidhs.jamacloud.com/perspective.req?projectId=53&amp;docId=27974","LSRP-SHRQ-53")</f>
        <v>LSRP-SHRQ-53</v>
      </c>
      <c r="B55" s="8" t="s">
        <v>374</v>
      </c>
      <c r="C55" s="35" t="s">
        <v>319</v>
      </c>
      <c r="D55" s="36" t="s">
        <v>320</v>
      </c>
      <c r="E55" s="37" t="s">
        <v>779</v>
      </c>
      <c r="F55" s="35" t="s">
        <v>322</v>
      </c>
      <c r="G55" s="7"/>
      <c r="H55" s="7"/>
      <c r="I55" s="12"/>
    </row>
    <row r="56" spans="1:9" ht="38.25" x14ac:dyDescent="0.2">
      <c r="A56" s="35" t="str">
        <f>HYPERLINK("https://mississippidhs.jamacloud.com/perspective.req?projectId=53&amp;docId=27975","LSRP-SHRQ-54")</f>
        <v>LSRP-SHRQ-54</v>
      </c>
      <c r="B56" s="8" t="s">
        <v>375</v>
      </c>
      <c r="C56" s="35" t="s">
        <v>319</v>
      </c>
      <c r="D56" s="36" t="s">
        <v>320</v>
      </c>
      <c r="E56" s="37" t="s">
        <v>779</v>
      </c>
      <c r="F56" s="35" t="s">
        <v>322</v>
      </c>
      <c r="G56" s="7"/>
      <c r="H56" s="7"/>
      <c r="I56" s="12"/>
    </row>
    <row r="57" spans="1:9" ht="25.5" x14ac:dyDescent="0.2">
      <c r="A57" s="35" t="str">
        <f>HYPERLINK("https://mississippidhs.jamacloud.com/perspective.req?projectId=53&amp;docId=27976","LSRP-SHRQ-55")</f>
        <v>LSRP-SHRQ-55</v>
      </c>
      <c r="B57" s="8" t="s">
        <v>376</v>
      </c>
      <c r="C57" s="35" t="s">
        <v>319</v>
      </c>
      <c r="D57" s="36" t="s">
        <v>320</v>
      </c>
      <c r="E57" s="37" t="s">
        <v>779</v>
      </c>
      <c r="F57" s="35" t="s">
        <v>322</v>
      </c>
      <c r="G57" s="7"/>
      <c r="H57" s="7"/>
      <c r="I57" s="12"/>
    </row>
    <row r="58" spans="1:9" ht="38.25" x14ac:dyDescent="0.2">
      <c r="A58" s="35" t="str">
        <f>HYPERLINK("https://mississippidhs.jamacloud.com/perspective.req?projectId=53&amp;docId=27977","LSRP-SHRQ-56")</f>
        <v>LSRP-SHRQ-56</v>
      </c>
      <c r="B58" s="8" t="s">
        <v>377</v>
      </c>
      <c r="C58" s="35" t="s">
        <v>319</v>
      </c>
      <c r="D58" s="36" t="s">
        <v>320</v>
      </c>
      <c r="E58" s="37" t="s">
        <v>779</v>
      </c>
      <c r="F58" s="35" t="s">
        <v>322</v>
      </c>
      <c r="G58" s="7"/>
      <c r="H58" s="7"/>
      <c r="I58" s="12"/>
    </row>
    <row r="59" spans="1:9" ht="25.5" x14ac:dyDescent="0.2">
      <c r="A59" s="35" t="str">
        <f>HYPERLINK("https://mississippidhs.jamacloud.com/perspective.req?projectId=53&amp;docId=27978","LSRP-SHRQ-57")</f>
        <v>LSRP-SHRQ-57</v>
      </c>
      <c r="B59" s="8" t="s">
        <v>378</v>
      </c>
      <c r="C59" s="35" t="s">
        <v>319</v>
      </c>
      <c r="D59" s="36" t="s">
        <v>320</v>
      </c>
      <c r="E59" s="37" t="s">
        <v>779</v>
      </c>
      <c r="F59" s="35" t="s">
        <v>322</v>
      </c>
      <c r="G59" s="7"/>
      <c r="H59" s="7"/>
      <c r="I59" s="12"/>
    </row>
    <row r="60" spans="1:9" ht="25.5" x14ac:dyDescent="0.2">
      <c r="A60" s="35" t="str">
        <f>HYPERLINK("https://mississippidhs.jamacloud.com/perspective.req?projectId=53&amp;docId=27979","LSRP-SHRQ-58")</f>
        <v>LSRP-SHRQ-58</v>
      </c>
      <c r="B60" s="8" t="s">
        <v>379</v>
      </c>
      <c r="C60" s="35" t="s">
        <v>319</v>
      </c>
      <c r="D60" s="36" t="s">
        <v>320</v>
      </c>
      <c r="E60" s="37" t="s">
        <v>779</v>
      </c>
      <c r="F60" s="35" t="s">
        <v>322</v>
      </c>
      <c r="G60" s="7"/>
      <c r="H60" s="7"/>
      <c r="I60" s="12"/>
    </row>
    <row r="61" spans="1:9" ht="38.25" x14ac:dyDescent="0.2">
      <c r="A61" s="35" t="str">
        <f>HYPERLINK("https://mississippidhs.jamacloud.com/perspective.req?projectId=53&amp;docId=27980","LSRP-SHRQ-59")</f>
        <v>LSRP-SHRQ-59</v>
      </c>
      <c r="B61" s="8" t="s">
        <v>380</v>
      </c>
      <c r="C61" s="35" t="s">
        <v>319</v>
      </c>
      <c r="D61" s="36" t="s">
        <v>320</v>
      </c>
      <c r="E61" s="37" t="s">
        <v>779</v>
      </c>
      <c r="F61" s="35" t="s">
        <v>322</v>
      </c>
      <c r="G61" s="7"/>
      <c r="H61" s="7"/>
      <c r="I61" s="12"/>
    </row>
    <row r="62" spans="1:9" ht="38.25" x14ac:dyDescent="0.2">
      <c r="A62" s="35" t="str">
        <f>HYPERLINK("https://mississippidhs.jamacloud.com/perspective.req?projectId=53&amp;docId=27981","LSRP-SHRQ-60")</f>
        <v>LSRP-SHRQ-60</v>
      </c>
      <c r="B62" s="8" t="s">
        <v>381</v>
      </c>
      <c r="C62" s="35" t="s">
        <v>319</v>
      </c>
      <c r="D62" s="36" t="s">
        <v>320</v>
      </c>
      <c r="E62" s="37" t="s">
        <v>779</v>
      </c>
      <c r="F62" s="35" t="s">
        <v>322</v>
      </c>
      <c r="G62" s="7"/>
      <c r="H62" s="7"/>
      <c r="I62" s="12"/>
    </row>
    <row r="63" spans="1:9" ht="51" x14ac:dyDescent="0.2">
      <c r="A63" s="35" t="str">
        <f>HYPERLINK("https://mississippidhs.jamacloud.com/perspective.req?projectId=53&amp;docId=27982","LSRP-SHRQ-61")</f>
        <v>LSRP-SHRQ-61</v>
      </c>
      <c r="B63" s="8" t="s">
        <v>382</v>
      </c>
      <c r="C63" s="35" t="s">
        <v>319</v>
      </c>
      <c r="D63" s="36" t="s">
        <v>320</v>
      </c>
      <c r="E63" s="37" t="s">
        <v>779</v>
      </c>
      <c r="F63" s="35" t="s">
        <v>322</v>
      </c>
      <c r="G63" s="7"/>
      <c r="H63" s="7"/>
      <c r="I63" s="12"/>
    </row>
    <row r="64" spans="1:9" ht="25.5" x14ac:dyDescent="0.2">
      <c r="A64" s="35" t="str">
        <f>HYPERLINK("https://mississippidhs.jamacloud.com/perspective.req?projectId=53&amp;docId=27984","LSRP-SHRQ-63")</f>
        <v>LSRP-SHRQ-63</v>
      </c>
      <c r="B64" s="8" t="s">
        <v>383</v>
      </c>
      <c r="C64" s="35" t="s">
        <v>319</v>
      </c>
      <c r="D64" s="36" t="s">
        <v>384</v>
      </c>
      <c r="E64" s="37" t="s">
        <v>779</v>
      </c>
      <c r="F64" s="35" t="s">
        <v>322</v>
      </c>
      <c r="G64" s="7"/>
      <c r="H64" s="7"/>
      <c r="I64" s="12"/>
    </row>
    <row r="65" spans="1:9" ht="89.25" x14ac:dyDescent="0.2">
      <c r="A65" s="35" t="str">
        <f>HYPERLINK("https://mississippidhs.jamacloud.com/perspective.req?projectId=53&amp;docId=27985","LSRP-SHRQ-64")</f>
        <v>LSRP-SHRQ-64</v>
      </c>
      <c r="B65" s="8" t="s">
        <v>385</v>
      </c>
      <c r="C65" s="35" t="s">
        <v>319</v>
      </c>
      <c r="D65" s="36" t="s">
        <v>384</v>
      </c>
      <c r="E65" s="37" t="s">
        <v>779</v>
      </c>
      <c r="F65" s="35" t="s">
        <v>322</v>
      </c>
      <c r="G65" s="7"/>
      <c r="H65" s="7"/>
      <c r="I65" s="12"/>
    </row>
    <row r="66" spans="1:9" ht="63.75" x14ac:dyDescent="0.2">
      <c r="A66" s="35" t="str">
        <f>HYPERLINK("https://mississippidhs.jamacloud.com/perspective.req?projectId=53&amp;docId=27986","LSRP-SHRQ-65")</f>
        <v>LSRP-SHRQ-65</v>
      </c>
      <c r="B66" s="8" t="s">
        <v>386</v>
      </c>
      <c r="C66" s="35" t="s">
        <v>319</v>
      </c>
      <c r="D66" s="36" t="s">
        <v>384</v>
      </c>
      <c r="E66" s="37" t="s">
        <v>779</v>
      </c>
      <c r="F66" s="35" t="s">
        <v>322</v>
      </c>
      <c r="G66" s="7"/>
      <c r="H66" s="7"/>
      <c r="I66" s="12"/>
    </row>
    <row r="67" spans="1:9" ht="25.5" x14ac:dyDescent="0.2">
      <c r="A67" s="35" t="str">
        <f>HYPERLINK("https://mississippidhs.jamacloud.com/perspective.req?projectId=53&amp;docId=27987","LSRP-SHRQ-66")</f>
        <v>LSRP-SHRQ-66</v>
      </c>
      <c r="B67" s="8" t="s">
        <v>387</v>
      </c>
      <c r="C67" s="35" t="s">
        <v>319</v>
      </c>
      <c r="D67" s="36" t="s">
        <v>384</v>
      </c>
      <c r="E67" s="37" t="s">
        <v>779</v>
      </c>
      <c r="F67" s="35" t="s">
        <v>322</v>
      </c>
      <c r="G67" s="7"/>
      <c r="H67" s="7"/>
      <c r="I67" s="12"/>
    </row>
    <row r="68" spans="1:9" ht="51" x14ac:dyDescent="0.2">
      <c r="A68" s="35" t="str">
        <f>HYPERLINK("https://mississippidhs.jamacloud.com/perspective.req?projectId=53&amp;docId=27988","LSRP-SHRQ-67")</f>
        <v>LSRP-SHRQ-67</v>
      </c>
      <c r="B68" s="8" t="s">
        <v>388</v>
      </c>
      <c r="C68" s="35" t="s">
        <v>319</v>
      </c>
      <c r="D68" s="36" t="s">
        <v>384</v>
      </c>
      <c r="E68" s="37" t="s">
        <v>779</v>
      </c>
      <c r="F68" s="35" t="s">
        <v>322</v>
      </c>
      <c r="G68" s="7"/>
      <c r="H68" s="7"/>
      <c r="I68" s="12"/>
    </row>
    <row r="69" spans="1:9" ht="14.25" x14ac:dyDescent="0.2">
      <c r="A69" s="35" t="str">
        <f>HYPERLINK("https://mississippidhs.jamacloud.com/perspective.req?projectId=53&amp;docId=27989","LSRP-SHRQ-68")</f>
        <v>LSRP-SHRQ-68</v>
      </c>
      <c r="B69" s="8" t="s">
        <v>389</v>
      </c>
      <c r="C69" s="35" t="s">
        <v>319</v>
      </c>
      <c r="D69" s="36" t="s">
        <v>384</v>
      </c>
      <c r="E69" s="37" t="s">
        <v>779</v>
      </c>
      <c r="F69" s="35" t="s">
        <v>390</v>
      </c>
      <c r="G69" s="7"/>
      <c r="H69" s="7"/>
      <c r="I69" s="12"/>
    </row>
    <row r="70" spans="1:9" ht="38.25" x14ac:dyDescent="0.2">
      <c r="A70" s="35" t="str">
        <f>HYPERLINK("https://mississippidhs.jamacloud.com/perspective.req?projectId=53&amp;docId=27990","LSRP-SHRQ-69")</f>
        <v>LSRP-SHRQ-69</v>
      </c>
      <c r="B70" s="8" t="s">
        <v>391</v>
      </c>
      <c r="C70" s="35" t="s">
        <v>319</v>
      </c>
      <c r="D70" s="36" t="s">
        <v>384</v>
      </c>
      <c r="E70" s="37" t="s">
        <v>779</v>
      </c>
      <c r="F70" s="35" t="s">
        <v>392</v>
      </c>
      <c r="G70" s="7"/>
      <c r="H70" s="7"/>
      <c r="I70" s="12"/>
    </row>
    <row r="71" spans="1:9" ht="25.5" x14ac:dyDescent="0.2">
      <c r="A71" s="35" t="str">
        <f>HYPERLINK("https://mississippidhs.jamacloud.com/perspective.req?projectId=53&amp;docId=27991","LSRP-SHRQ-70")</f>
        <v>LSRP-SHRQ-70</v>
      </c>
      <c r="B71" s="8" t="s">
        <v>393</v>
      </c>
      <c r="C71" s="35" t="s">
        <v>319</v>
      </c>
      <c r="D71" s="36" t="s">
        <v>384</v>
      </c>
      <c r="E71" s="37" t="s">
        <v>779</v>
      </c>
      <c r="F71" s="35" t="s">
        <v>394</v>
      </c>
      <c r="G71" s="7"/>
      <c r="H71" s="7"/>
      <c r="I71" s="12"/>
    </row>
    <row r="72" spans="1:9" ht="38.25" x14ac:dyDescent="0.2">
      <c r="A72" s="35" t="str">
        <f>HYPERLINK("https://mississippidhs.jamacloud.com/perspective.req?projectId=53&amp;docId=27992","LSRP-SHRQ-71")</f>
        <v>LSRP-SHRQ-71</v>
      </c>
      <c r="B72" s="8" t="s">
        <v>395</v>
      </c>
      <c r="C72" s="35" t="s">
        <v>319</v>
      </c>
      <c r="D72" s="36" t="s">
        <v>384</v>
      </c>
      <c r="E72" s="37" t="s">
        <v>779</v>
      </c>
      <c r="F72" s="35" t="s">
        <v>322</v>
      </c>
      <c r="G72" s="7"/>
      <c r="H72" s="7"/>
      <c r="I72" s="12"/>
    </row>
    <row r="73" spans="1:9" ht="25.5" x14ac:dyDescent="0.2">
      <c r="A73" s="35" t="str">
        <f>HYPERLINK("https://mississippidhs.jamacloud.com/perspective.req?projectId=53&amp;docId=27993","LSRP-SHRQ-72")</f>
        <v>LSRP-SHRQ-72</v>
      </c>
      <c r="B73" s="8" t="s">
        <v>396</v>
      </c>
      <c r="C73" s="35" t="s">
        <v>319</v>
      </c>
      <c r="D73" s="36" t="s">
        <v>384</v>
      </c>
      <c r="E73" s="37" t="s">
        <v>779</v>
      </c>
      <c r="F73" s="35" t="s">
        <v>322</v>
      </c>
      <c r="G73" s="7"/>
      <c r="H73" s="7"/>
      <c r="I73" s="12"/>
    </row>
    <row r="74" spans="1:9" ht="25.5" x14ac:dyDescent="0.2">
      <c r="A74" s="35" t="str">
        <f>HYPERLINK("https://mississippidhs.jamacloud.com/perspective.req?projectId=53&amp;docId=27994","LSRP-SHRQ-73")</f>
        <v>LSRP-SHRQ-73</v>
      </c>
      <c r="B74" s="8" t="s">
        <v>397</v>
      </c>
      <c r="C74" s="35" t="s">
        <v>319</v>
      </c>
      <c r="D74" s="36" t="s">
        <v>384</v>
      </c>
      <c r="E74" s="37" t="s">
        <v>779</v>
      </c>
      <c r="F74" s="35" t="s">
        <v>322</v>
      </c>
      <c r="G74" s="7"/>
      <c r="H74" s="7"/>
      <c r="I74" s="12"/>
    </row>
    <row r="75" spans="1:9" ht="14.25" x14ac:dyDescent="0.2">
      <c r="A75" s="35" t="str">
        <f>HYPERLINK("https://mississippidhs.jamacloud.com/perspective.req?projectId=53&amp;docId=27995","LSRP-SHRQ-74")</f>
        <v>LSRP-SHRQ-74</v>
      </c>
      <c r="B75" s="8" t="s">
        <v>398</v>
      </c>
      <c r="C75" s="35" t="s">
        <v>319</v>
      </c>
      <c r="D75" s="36" t="s">
        <v>384</v>
      </c>
      <c r="E75" s="37" t="s">
        <v>779</v>
      </c>
      <c r="F75" s="35" t="s">
        <v>322</v>
      </c>
      <c r="G75" s="7"/>
      <c r="H75" s="7"/>
      <c r="I75" s="12"/>
    </row>
    <row r="76" spans="1:9" ht="25.5" x14ac:dyDescent="0.2">
      <c r="A76" s="35" t="str">
        <f>HYPERLINK("https://mississippidhs.jamacloud.com/perspective.req?projectId=53&amp;docId=27996","LSRP-SHRQ-75")</f>
        <v>LSRP-SHRQ-75</v>
      </c>
      <c r="B76" s="8" t="s">
        <v>399</v>
      </c>
      <c r="C76" s="35" t="s">
        <v>319</v>
      </c>
      <c r="D76" s="36" t="s">
        <v>384</v>
      </c>
      <c r="E76" s="37" t="s">
        <v>779</v>
      </c>
      <c r="F76" s="35" t="s">
        <v>322</v>
      </c>
      <c r="G76" s="7"/>
      <c r="H76" s="7"/>
      <c r="I76" s="12"/>
    </row>
    <row r="77" spans="1:9" ht="38.25" x14ac:dyDescent="0.2">
      <c r="A77" s="35" t="str">
        <f>HYPERLINK("https://mississippidhs.jamacloud.com/perspective.req?projectId=53&amp;docId=27998","LSRP-SHRQ-76")</f>
        <v>LSRP-SHRQ-76</v>
      </c>
      <c r="B77" s="8" t="s">
        <v>400</v>
      </c>
      <c r="C77" s="35" t="s">
        <v>401</v>
      </c>
      <c r="D77" s="36" t="s">
        <v>47</v>
      </c>
      <c r="E77" s="37" t="s">
        <v>779</v>
      </c>
      <c r="F77" s="35" t="s">
        <v>322</v>
      </c>
      <c r="G77" s="7"/>
      <c r="H77" s="7"/>
      <c r="I77" s="12"/>
    </row>
    <row r="78" spans="1:9" ht="38.25" x14ac:dyDescent="0.2">
      <c r="A78" s="35" t="str">
        <f>HYPERLINK("https://mississippidhs.jamacloud.com/perspective.req?projectId=53&amp;docId=27999","LSRP-SHRQ-77")</f>
        <v>LSRP-SHRQ-77</v>
      </c>
      <c r="B78" s="8" t="s">
        <v>402</v>
      </c>
      <c r="C78" s="35" t="s">
        <v>401</v>
      </c>
      <c r="D78" s="36" t="s">
        <v>47</v>
      </c>
      <c r="E78" s="37" t="s">
        <v>779</v>
      </c>
      <c r="F78" s="35" t="s">
        <v>322</v>
      </c>
      <c r="G78" s="7"/>
      <c r="H78" s="7"/>
      <c r="I78" s="12"/>
    </row>
    <row r="79" spans="1:9" ht="38.25" x14ac:dyDescent="0.2">
      <c r="A79" s="35" t="str">
        <f>HYPERLINK("https://mississippidhs.jamacloud.com/perspective.req?projectId=53&amp;docId=28000","LSRP-SHRQ-78")</f>
        <v>LSRP-SHRQ-78</v>
      </c>
      <c r="B79" s="8" t="s">
        <v>403</v>
      </c>
      <c r="C79" s="35" t="s">
        <v>401</v>
      </c>
      <c r="D79" s="36" t="s">
        <v>47</v>
      </c>
      <c r="E79" s="37" t="s">
        <v>779</v>
      </c>
      <c r="F79" s="35" t="s">
        <v>322</v>
      </c>
      <c r="G79" s="7"/>
      <c r="H79" s="7"/>
      <c r="I79" s="12"/>
    </row>
    <row r="80" spans="1:9" ht="25.5" x14ac:dyDescent="0.2">
      <c r="A80" s="35" t="str">
        <f>HYPERLINK("https://mississippidhs.jamacloud.com/perspective.req?projectId=53&amp;docId=28001","LSRP-SHRQ-79")</f>
        <v>LSRP-SHRQ-79</v>
      </c>
      <c r="B80" s="8" t="s">
        <v>404</v>
      </c>
      <c r="C80" s="35" t="s">
        <v>401</v>
      </c>
      <c r="D80" s="36" t="s">
        <v>47</v>
      </c>
      <c r="E80" s="37" t="s">
        <v>779</v>
      </c>
      <c r="F80" s="35" t="s">
        <v>322</v>
      </c>
      <c r="G80" s="7"/>
      <c r="H80" s="7"/>
      <c r="I80" s="12"/>
    </row>
    <row r="81" spans="1:9" ht="38.25" x14ac:dyDescent="0.2">
      <c r="A81" s="35" t="str">
        <f>HYPERLINK("https://mississippidhs.jamacloud.com/perspective.req?projectId=53&amp;docId=28002","LSRP-SHRQ-80")</f>
        <v>LSRP-SHRQ-80</v>
      </c>
      <c r="B81" s="8" t="s">
        <v>405</v>
      </c>
      <c r="C81" s="35" t="s">
        <v>401</v>
      </c>
      <c r="D81" s="36" t="s">
        <v>47</v>
      </c>
      <c r="E81" s="37" t="s">
        <v>779</v>
      </c>
      <c r="F81" s="35" t="s">
        <v>322</v>
      </c>
      <c r="G81" s="7"/>
      <c r="H81" s="7"/>
      <c r="I81" s="12"/>
    </row>
    <row r="82" spans="1:9" ht="38.25" x14ac:dyDescent="0.2">
      <c r="A82" s="35" t="str">
        <f>HYPERLINK("https://mississippidhs.jamacloud.com/perspective.req?projectId=53&amp;docId=28003","LSRP-SHRQ-81")</f>
        <v>LSRP-SHRQ-81</v>
      </c>
      <c r="B82" s="8" t="s">
        <v>406</v>
      </c>
      <c r="C82" s="35" t="s">
        <v>401</v>
      </c>
      <c r="D82" s="36" t="s">
        <v>47</v>
      </c>
      <c r="E82" s="37" t="s">
        <v>779</v>
      </c>
      <c r="F82" s="35" t="s">
        <v>322</v>
      </c>
      <c r="G82" s="7"/>
      <c r="H82" s="7"/>
      <c r="I82" s="12"/>
    </row>
    <row r="83" spans="1:9" ht="25.5" x14ac:dyDescent="0.2">
      <c r="A83" s="35" t="str">
        <f>HYPERLINK("https://mississippidhs.jamacloud.com/perspective.req?projectId=53&amp;docId=28004","LSRP-SHRQ-82")</f>
        <v>LSRP-SHRQ-82</v>
      </c>
      <c r="B83" s="8" t="s">
        <v>407</v>
      </c>
      <c r="C83" s="35" t="s">
        <v>401</v>
      </c>
      <c r="D83" s="36" t="s">
        <v>47</v>
      </c>
      <c r="E83" s="37" t="s">
        <v>779</v>
      </c>
      <c r="F83" s="35" t="s">
        <v>322</v>
      </c>
      <c r="G83" s="7"/>
      <c r="H83" s="7"/>
      <c r="I83" s="12"/>
    </row>
    <row r="84" spans="1:9" ht="25.5" x14ac:dyDescent="0.2">
      <c r="A84" s="35" t="str">
        <f>HYPERLINK("https://mississippidhs.jamacloud.com/perspective.req?projectId=53&amp;docId=28005","LSRP-SHRQ-83")</f>
        <v>LSRP-SHRQ-83</v>
      </c>
      <c r="B84" s="8" t="s">
        <v>408</v>
      </c>
      <c r="C84" s="35" t="s">
        <v>401</v>
      </c>
      <c r="D84" s="36" t="s">
        <v>47</v>
      </c>
      <c r="E84" s="37" t="s">
        <v>779</v>
      </c>
      <c r="F84" s="35" t="s">
        <v>322</v>
      </c>
      <c r="G84" s="7"/>
      <c r="H84" s="7"/>
      <c r="I84" s="12"/>
    </row>
    <row r="85" spans="1:9" ht="25.5" x14ac:dyDescent="0.2">
      <c r="A85" s="35" t="str">
        <f>HYPERLINK("https://mississippidhs.jamacloud.com/perspective.req?projectId=53&amp;docId=28006","LSRP-SHRQ-84")</f>
        <v>LSRP-SHRQ-84</v>
      </c>
      <c r="B85" s="8" t="s">
        <v>409</v>
      </c>
      <c r="C85" s="35" t="s">
        <v>401</v>
      </c>
      <c r="D85" s="36" t="s">
        <v>47</v>
      </c>
      <c r="E85" s="37" t="s">
        <v>779</v>
      </c>
      <c r="F85" s="35" t="s">
        <v>322</v>
      </c>
      <c r="G85" s="7"/>
      <c r="H85" s="7"/>
      <c r="I85" s="12"/>
    </row>
    <row r="86" spans="1:9" ht="25.5" x14ac:dyDescent="0.2">
      <c r="A86" s="35" t="str">
        <f>HYPERLINK("https://mississippidhs.jamacloud.com/perspective.req?projectId=53&amp;docId=28007","LSRP-SHRQ-85")</f>
        <v>LSRP-SHRQ-85</v>
      </c>
      <c r="B86" s="8" t="s">
        <v>410</v>
      </c>
      <c r="C86" s="35" t="s">
        <v>401</v>
      </c>
      <c r="D86" s="36" t="s">
        <v>47</v>
      </c>
      <c r="E86" s="37" t="s">
        <v>779</v>
      </c>
      <c r="F86" s="35" t="s">
        <v>411</v>
      </c>
      <c r="G86" s="7"/>
      <c r="H86" s="7"/>
      <c r="I86" s="12"/>
    </row>
    <row r="87" spans="1:9" ht="51" x14ac:dyDescent="0.2">
      <c r="A87" s="35" t="str">
        <f>HYPERLINK("https://mississippidhs.jamacloud.com/perspective.req?projectId=53&amp;docId=28008","LSRP-SHRQ-86")</f>
        <v>LSRP-SHRQ-86</v>
      </c>
      <c r="B87" s="8" t="s">
        <v>412</v>
      </c>
      <c r="C87" s="35" t="s">
        <v>401</v>
      </c>
      <c r="D87" s="36" t="s">
        <v>47</v>
      </c>
      <c r="E87" s="37" t="s">
        <v>779</v>
      </c>
      <c r="F87" s="35" t="s">
        <v>411</v>
      </c>
      <c r="G87" s="7"/>
      <c r="H87" s="7"/>
      <c r="I87" s="12"/>
    </row>
    <row r="88" spans="1:9" ht="38.25" x14ac:dyDescent="0.2">
      <c r="A88" s="35" t="str">
        <f>HYPERLINK("https://mississippidhs.jamacloud.com/perspective.req?projectId=53&amp;docId=28009","LSRP-SHRQ-87")</f>
        <v>LSRP-SHRQ-87</v>
      </c>
      <c r="B88" s="8" t="s">
        <v>413</v>
      </c>
      <c r="C88" s="35" t="s">
        <v>401</v>
      </c>
      <c r="D88" s="36" t="s">
        <v>47</v>
      </c>
      <c r="E88" s="37" t="s">
        <v>779</v>
      </c>
      <c r="F88" s="35" t="s">
        <v>411</v>
      </c>
      <c r="G88" s="7"/>
      <c r="H88" s="7"/>
      <c r="I88" s="12"/>
    </row>
    <row r="89" spans="1:9" ht="25.5" x14ac:dyDescent="0.2">
      <c r="A89" s="35" t="str">
        <f>HYPERLINK("https://mississippidhs.jamacloud.com/perspective.req?projectId=53&amp;docId=28010","LSRP-SHRQ-88")</f>
        <v>LSRP-SHRQ-88</v>
      </c>
      <c r="B89" s="8" t="s">
        <v>414</v>
      </c>
      <c r="C89" s="35" t="s">
        <v>401</v>
      </c>
      <c r="D89" s="36" t="s">
        <v>47</v>
      </c>
      <c r="E89" s="37" t="s">
        <v>779</v>
      </c>
      <c r="F89" s="35" t="s">
        <v>411</v>
      </c>
      <c r="G89" s="7"/>
      <c r="H89" s="7"/>
      <c r="I89" s="12"/>
    </row>
    <row r="90" spans="1:9" ht="51" x14ac:dyDescent="0.2">
      <c r="A90" s="35" t="str">
        <f>HYPERLINK("https://mississippidhs.jamacloud.com/perspective.req?projectId=53&amp;docId=28011","LSRP-SHRQ-89")</f>
        <v>LSRP-SHRQ-89</v>
      </c>
      <c r="B90" s="8" t="s">
        <v>415</v>
      </c>
      <c r="C90" s="35" t="s">
        <v>401</v>
      </c>
      <c r="D90" s="36" t="s">
        <v>47</v>
      </c>
      <c r="E90" s="37" t="s">
        <v>779</v>
      </c>
      <c r="F90" s="35" t="s">
        <v>411</v>
      </c>
      <c r="G90" s="7"/>
      <c r="H90" s="7"/>
      <c r="I90" s="12"/>
    </row>
    <row r="91" spans="1:9" ht="63.75" x14ac:dyDescent="0.2">
      <c r="A91" s="35" t="str">
        <f>HYPERLINK("https://mississippidhs.jamacloud.com/perspective.req?projectId=53&amp;docId=28012","LSRP-SHRQ-90")</f>
        <v>LSRP-SHRQ-90</v>
      </c>
      <c r="B91" s="8" t="s">
        <v>416</v>
      </c>
      <c r="C91" s="35" t="s">
        <v>401</v>
      </c>
      <c r="D91" s="36" t="s">
        <v>47</v>
      </c>
      <c r="E91" s="37" t="s">
        <v>779</v>
      </c>
      <c r="F91" s="35" t="s">
        <v>411</v>
      </c>
      <c r="G91" s="7"/>
      <c r="H91" s="7"/>
      <c r="I91" s="12"/>
    </row>
    <row r="92" spans="1:9" ht="51" x14ac:dyDescent="0.2">
      <c r="A92" s="35" t="str">
        <f>HYPERLINK("https://mississippidhs.jamacloud.com/perspective.req?projectId=53&amp;docId=28013","LSRP-SHRQ-91")</f>
        <v>LSRP-SHRQ-91</v>
      </c>
      <c r="B92" s="8" t="s">
        <v>417</v>
      </c>
      <c r="C92" s="35" t="s">
        <v>401</v>
      </c>
      <c r="D92" s="36" t="s">
        <v>47</v>
      </c>
      <c r="E92" s="37" t="s">
        <v>779</v>
      </c>
      <c r="F92" s="35" t="s">
        <v>411</v>
      </c>
      <c r="G92" s="7"/>
      <c r="H92" s="7"/>
      <c r="I92" s="12"/>
    </row>
    <row r="93" spans="1:9" ht="89.25" x14ac:dyDescent="0.2">
      <c r="A93" s="35" t="str">
        <f>HYPERLINK("https://mississippidhs.jamacloud.com/perspective.req?projectId=53&amp;docId=28014","LSRP-SHRQ-92")</f>
        <v>LSRP-SHRQ-92</v>
      </c>
      <c r="B93" s="8" t="s">
        <v>418</v>
      </c>
      <c r="C93" s="35" t="s">
        <v>401</v>
      </c>
      <c r="D93" s="36" t="s">
        <v>47</v>
      </c>
      <c r="E93" s="37" t="s">
        <v>779</v>
      </c>
      <c r="F93" s="35" t="s">
        <v>411</v>
      </c>
      <c r="G93" s="7"/>
      <c r="H93" s="7"/>
      <c r="I93" s="12"/>
    </row>
    <row r="94" spans="1:9" ht="25.5" x14ac:dyDescent="0.2">
      <c r="A94" s="35" t="str">
        <f>HYPERLINK("https://mississippidhs.jamacloud.com/perspective.req?projectId=53&amp;docId=28015","LSRP-SHRQ-93")</f>
        <v>LSRP-SHRQ-93</v>
      </c>
      <c r="B94" s="8" t="s">
        <v>419</v>
      </c>
      <c r="C94" s="35" t="s">
        <v>401</v>
      </c>
      <c r="D94" s="36" t="s">
        <v>47</v>
      </c>
      <c r="E94" s="37" t="s">
        <v>779</v>
      </c>
      <c r="F94" s="35" t="s">
        <v>420</v>
      </c>
      <c r="G94" s="7"/>
      <c r="H94" s="7"/>
      <c r="I94" s="12"/>
    </row>
    <row r="95" spans="1:9" ht="38.25" x14ac:dyDescent="0.2">
      <c r="A95" s="35" t="str">
        <f>HYPERLINK("https://mississippidhs.jamacloud.com/perspective.req?projectId=53&amp;docId=28016","LSRP-SHRQ-94")</f>
        <v>LSRP-SHRQ-94</v>
      </c>
      <c r="B95" s="8" t="s">
        <v>421</v>
      </c>
      <c r="C95" s="35" t="s">
        <v>401</v>
      </c>
      <c r="D95" s="36" t="s">
        <v>47</v>
      </c>
      <c r="E95" s="37" t="s">
        <v>779</v>
      </c>
      <c r="F95" s="35" t="s">
        <v>422</v>
      </c>
      <c r="G95" s="7"/>
      <c r="H95" s="7"/>
      <c r="I95" s="12"/>
    </row>
    <row r="96" spans="1:9" ht="25.5" x14ac:dyDescent="0.2">
      <c r="A96" s="35" t="str">
        <f>HYPERLINK("https://mississippidhs.jamacloud.com/perspective.req?projectId=53&amp;docId=28018","LSRP-SHRQ-95")</f>
        <v>LSRP-SHRQ-95</v>
      </c>
      <c r="B96" s="8" t="s">
        <v>423</v>
      </c>
      <c r="C96" s="35" t="s">
        <v>319</v>
      </c>
      <c r="D96" s="36" t="s">
        <v>424</v>
      </c>
      <c r="E96" s="37" t="s">
        <v>779</v>
      </c>
      <c r="F96" s="35" t="s">
        <v>425</v>
      </c>
      <c r="G96" s="7"/>
      <c r="H96" s="7"/>
      <c r="I96" s="12"/>
    </row>
    <row r="97" spans="1:9" ht="38.25" x14ac:dyDescent="0.2">
      <c r="A97" s="35" t="str">
        <f>HYPERLINK("https://mississippidhs.jamacloud.com/perspective.req?projectId=53&amp;docId=28019","LSRP-SHRQ-96")</f>
        <v>LSRP-SHRQ-96</v>
      </c>
      <c r="B97" s="8" t="s">
        <v>426</v>
      </c>
      <c r="C97" s="35" t="s">
        <v>319</v>
      </c>
      <c r="D97" s="36" t="s">
        <v>424</v>
      </c>
      <c r="E97" s="37" t="s">
        <v>779</v>
      </c>
      <c r="F97" s="35" t="s">
        <v>425</v>
      </c>
      <c r="G97" s="7"/>
      <c r="H97" s="7"/>
      <c r="I97" s="12"/>
    </row>
    <row r="98" spans="1:9" ht="25.5" x14ac:dyDescent="0.2">
      <c r="A98" s="35" t="str">
        <f>HYPERLINK("https://mississippidhs.jamacloud.com/perspective.req?projectId=53&amp;docId=28020","LSRP-SHRQ-97")</f>
        <v>LSRP-SHRQ-97</v>
      </c>
      <c r="B98" s="8" t="s">
        <v>427</v>
      </c>
      <c r="C98" s="35" t="s">
        <v>319</v>
      </c>
      <c r="D98" s="36" t="s">
        <v>424</v>
      </c>
      <c r="E98" s="37" t="s">
        <v>779</v>
      </c>
      <c r="F98" s="35" t="s">
        <v>425</v>
      </c>
      <c r="G98" s="7"/>
      <c r="H98" s="7"/>
      <c r="I98" s="12"/>
    </row>
    <row r="99" spans="1:9" ht="25.5" x14ac:dyDescent="0.2">
      <c r="A99" s="35" t="str">
        <f>HYPERLINK("https://mississippidhs.jamacloud.com/perspective.req?projectId=53&amp;docId=28021","LSRP-SHRQ-98")</f>
        <v>LSRP-SHRQ-98</v>
      </c>
      <c r="B99" s="8" t="s">
        <v>428</v>
      </c>
      <c r="C99" s="35" t="s">
        <v>319</v>
      </c>
      <c r="D99" s="36" t="s">
        <v>424</v>
      </c>
      <c r="E99" s="37" t="s">
        <v>779</v>
      </c>
      <c r="F99" s="35" t="s">
        <v>425</v>
      </c>
      <c r="G99" s="7"/>
      <c r="H99" s="7"/>
      <c r="I99" s="12"/>
    </row>
    <row r="100" spans="1:9" ht="25.5" x14ac:dyDescent="0.2">
      <c r="A100" s="35" t="str">
        <f>HYPERLINK("https://mississippidhs.jamacloud.com/perspective.req?projectId=53&amp;docId=28022","LSRP-SHRQ-99")</f>
        <v>LSRP-SHRQ-99</v>
      </c>
      <c r="B100" s="8" t="s">
        <v>429</v>
      </c>
      <c r="C100" s="35" t="s">
        <v>319</v>
      </c>
      <c r="D100" s="36" t="s">
        <v>424</v>
      </c>
      <c r="E100" s="37" t="s">
        <v>779</v>
      </c>
      <c r="F100" s="35" t="s">
        <v>425</v>
      </c>
      <c r="G100" s="7"/>
      <c r="H100" s="7"/>
      <c r="I100" s="12"/>
    </row>
    <row r="101" spans="1:9" ht="63.75" x14ac:dyDescent="0.2">
      <c r="A101" s="35" t="str">
        <f>HYPERLINK("https://mississippidhs.jamacloud.com/perspective.req?projectId=53&amp;docId=28023","LSRP-SHRQ-100")</f>
        <v>LSRP-SHRQ-100</v>
      </c>
      <c r="B101" s="8" t="s">
        <v>430</v>
      </c>
      <c r="C101" s="35" t="s">
        <v>319</v>
      </c>
      <c r="D101" s="36" t="s">
        <v>424</v>
      </c>
      <c r="E101" s="37" t="s">
        <v>779</v>
      </c>
      <c r="F101" s="35" t="s">
        <v>425</v>
      </c>
      <c r="G101" s="7"/>
      <c r="H101" s="7"/>
      <c r="I101" s="12"/>
    </row>
    <row r="102" spans="1:9" ht="38.25" x14ac:dyDescent="0.2">
      <c r="A102" s="35" t="str">
        <f>HYPERLINK("https://mississippidhs.jamacloud.com/perspective.req?projectId=53&amp;docId=28024","LSRP-SHRQ-101")</f>
        <v>LSRP-SHRQ-101</v>
      </c>
      <c r="B102" s="8" t="s">
        <v>431</v>
      </c>
      <c r="C102" s="35" t="s">
        <v>319</v>
      </c>
      <c r="D102" s="36" t="s">
        <v>424</v>
      </c>
      <c r="E102" s="37" t="s">
        <v>779</v>
      </c>
      <c r="F102" s="35" t="s">
        <v>425</v>
      </c>
      <c r="G102" s="7"/>
      <c r="H102" s="7"/>
      <c r="I102" s="12"/>
    </row>
    <row r="103" spans="1:9" ht="51" x14ac:dyDescent="0.2">
      <c r="A103" s="35" t="str">
        <f>HYPERLINK("https://mississippidhs.jamacloud.com/perspective.req?projectId=53&amp;docId=28025","LSRP-SHRQ-102")</f>
        <v>LSRP-SHRQ-102</v>
      </c>
      <c r="B103" s="8" t="s">
        <v>432</v>
      </c>
      <c r="C103" s="35" t="s">
        <v>319</v>
      </c>
      <c r="D103" s="36" t="s">
        <v>424</v>
      </c>
      <c r="E103" s="37" t="s">
        <v>779</v>
      </c>
      <c r="F103" s="35" t="s">
        <v>425</v>
      </c>
      <c r="G103" s="7"/>
      <c r="H103" s="7"/>
      <c r="I103" s="12"/>
    </row>
    <row r="104" spans="1:9" ht="63.75" x14ac:dyDescent="0.2">
      <c r="A104" s="35" t="str">
        <f>HYPERLINK("https://mississippidhs.jamacloud.com/perspective.req?projectId=53&amp;docId=28026","LSRP-SHRQ-103")</f>
        <v>LSRP-SHRQ-103</v>
      </c>
      <c r="B104" s="8" t="s">
        <v>433</v>
      </c>
      <c r="C104" s="35" t="s">
        <v>319</v>
      </c>
      <c r="D104" s="36" t="s">
        <v>424</v>
      </c>
      <c r="E104" s="37" t="s">
        <v>779</v>
      </c>
      <c r="F104" s="35" t="s">
        <v>425</v>
      </c>
      <c r="G104" s="7"/>
      <c r="H104" s="7"/>
      <c r="I104" s="12"/>
    </row>
    <row r="105" spans="1:9" ht="38.25" x14ac:dyDescent="0.2">
      <c r="A105" s="35" t="str">
        <f>HYPERLINK("https://mississippidhs.jamacloud.com/perspective.req?projectId=53&amp;docId=28027","LSRP-SHRQ-104")</f>
        <v>LSRP-SHRQ-104</v>
      </c>
      <c r="B105" s="8" t="s">
        <v>434</v>
      </c>
      <c r="C105" s="35" t="s">
        <v>319</v>
      </c>
      <c r="D105" s="36" t="s">
        <v>424</v>
      </c>
      <c r="E105" s="37" t="s">
        <v>779</v>
      </c>
      <c r="F105" s="35" t="s">
        <v>394</v>
      </c>
      <c r="G105" s="7"/>
      <c r="H105" s="7"/>
      <c r="I105" s="12"/>
    </row>
    <row r="106" spans="1:9" ht="25.5" x14ac:dyDescent="0.2">
      <c r="A106" s="35" t="str">
        <f>HYPERLINK("https://mississippidhs.jamacloud.com/perspective.req?projectId=53&amp;docId=28028","LSRP-SHRQ-105")</f>
        <v>LSRP-SHRQ-105</v>
      </c>
      <c r="B106" s="8" t="s">
        <v>435</v>
      </c>
      <c r="C106" s="35" t="s">
        <v>319</v>
      </c>
      <c r="D106" s="36" t="s">
        <v>424</v>
      </c>
      <c r="E106" s="37" t="s">
        <v>779</v>
      </c>
      <c r="F106" s="35" t="s">
        <v>394</v>
      </c>
      <c r="G106" s="7"/>
      <c r="H106" s="7"/>
      <c r="I106" s="12"/>
    </row>
    <row r="107" spans="1:9" ht="25.5" x14ac:dyDescent="0.2">
      <c r="A107" s="35" t="str">
        <f>HYPERLINK("https://mississippidhs.jamacloud.com/perspective.req?projectId=53&amp;docId=28030","LSRP-SHRQ-106")</f>
        <v>LSRP-SHRQ-106</v>
      </c>
      <c r="B107" s="8" t="s">
        <v>436</v>
      </c>
      <c r="C107" s="35" t="s">
        <v>401</v>
      </c>
      <c r="D107" s="36" t="s">
        <v>33</v>
      </c>
      <c r="E107" s="37" t="s">
        <v>779</v>
      </c>
      <c r="F107" s="35" t="s">
        <v>322</v>
      </c>
      <c r="G107" s="7"/>
      <c r="H107" s="7"/>
      <c r="I107" s="12"/>
    </row>
    <row r="108" spans="1:9" ht="89.25" x14ac:dyDescent="0.2">
      <c r="A108" s="35" t="str">
        <f>HYPERLINK("https://mississippidhs.jamacloud.com/perspective.req?projectId=53&amp;docId=28031","LSRP-SHRQ-107")</f>
        <v>LSRP-SHRQ-107</v>
      </c>
      <c r="B108" s="8" t="s">
        <v>437</v>
      </c>
      <c r="C108" s="35" t="s">
        <v>401</v>
      </c>
      <c r="D108" s="36" t="s">
        <v>33</v>
      </c>
      <c r="E108" s="37" t="s">
        <v>779</v>
      </c>
      <c r="F108" s="35" t="s">
        <v>322</v>
      </c>
      <c r="G108" s="7"/>
      <c r="H108" s="7"/>
      <c r="I108" s="12"/>
    </row>
    <row r="109" spans="1:9" ht="38.25" x14ac:dyDescent="0.2">
      <c r="A109" s="35" t="str">
        <f>HYPERLINK("https://mississippidhs.jamacloud.com/perspective.req?projectId=53&amp;docId=28032","LSRP-SHRQ-108")</f>
        <v>LSRP-SHRQ-108</v>
      </c>
      <c r="B109" s="8" t="s">
        <v>438</v>
      </c>
      <c r="C109" s="35" t="s">
        <v>401</v>
      </c>
      <c r="D109" s="36" t="s">
        <v>33</v>
      </c>
      <c r="E109" s="37" t="s">
        <v>779</v>
      </c>
      <c r="F109" s="35" t="s">
        <v>322</v>
      </c>
      <c r="G109" s="7"/>
      <c r="H109" s="7"/>
      <c r="I109" s="12"/>
    </row>
    <row r="110" spans="1:9" ht="25.5" x14ac:dyDescent="0.2">
      <c r="A110" s="35" t="str">
        <f>HYPERLINK("https://mississippidhs.jamacloud.com/perspective.req?projectId=53&amp;docId=28033","LSRP-SHRQ-109")</f>
        <v>LSRP-SHRQ-109</v>
      </c>
      <c r="B110" s="8" t="s">
        <v>439</v>
      </c>
      <c r="C110" s="35" t="s">
        <v>401</v>
      </c>
      <c r="D110" s="36" t="s">
        <v>33</v>
      </c>
      <c r="E110" s="37" t="s">
        <v>779</v>
      </c>
      <c r="F110" s="35" t="s">
        <v>322</v>
      </c>
      <c r="G110" s="7"/>
      <c r="H110" s="7"/>
      <c r="I110" s="12"/>
    </row>
    <row r="111" spans="1:9" ht="14.25" x14ac:dyDescent="0.2">
      <c r="A111" s="35" t="str">
        <f>HYPERLINK("https://mississippidhs.jamacloud.com/perspective.req?projectId=53&amp;docId=28034","LSRP-SHRQ-110")</f>
        <v>LSRP-SHRQ-110</v>
      </c>
      <c r="B111" s="8" t="s">
        <v>440</v>
      </c>
      <c r="C111" s="35" t="s">
        <v>401</v>
      </c>
      <c r="D111" s="36" t="s">
        <v>33</v>
      </c>
      <c r="E111" s="37" t="s">
        <v>779</v>
      </c>
      <c r="F111" s="35" t="s">
        <v>322</v>
      </c>
      <c r="G111" s="7"/>
      <c r="H111" s="7"/>
      <c r="I111" s="12"/>
    </row>
    <row r="112" spans="1:9" ht="14.25" x14ac:dyDescent="0.2">
      <c r="A112" s="35" t="str">
        <f>HYPERLINK("https://mississippidhs.jamacloud.com/perspective.req?projectId=53&amp;docId=28035","LSRP-SHRQ-111")</f>
        <v>LSRP-SHRQ-111</v>
      </c>
      <c r="B112" s="8" t="s">
        <v>441</v>
      </c>
      <c r="C112" s="35" t="s">
        <v>401</v>
      </c>
      <c r="D112" s="36" t="s">
        <v>33</v>
      </c>
      <c r="E112" s="37" t="s">
        <v>779</v>
      </c>
      <c r="F112" s="35" t="s">
        <v>322</v>
      </c>
      <c r="G112" s="7"/>
      <c r="H112" s="7"/>
      <c r="I112" s="12"/>
    </row>
    <row r="113" spans="1:9" ht="25.5" x14ac:dyDescent="0.2">
      <c r="A113" s="35" t="str">
        <f>HYPERLINK("https://mississippidhs.jamacloud.com/perspective.req?projectId=53&amp;docId=28036","LSRP-SHRQ-112")</f>
        <v>LSRP-SHRQ-112</v>
      </c>
      <c r="B113" s="8" t="s">
        <v>442</v>
      </c>
      <c r="C113" s="35" t="s">
        <v>401</v>
      </c>
      <c r="D113" s="36" t="s">
        <v>33</v>
      </c>
      <c r="E113" s="37" t="s">
        <v>779</v>
      </c>
      <c r="F113" s="35" t="s">
        <v>322</v>
      </c>
      <c r="G113" s="7"/>
      <c r="H113" s="7"/>
      <c r="I113" s="12"/>
    </row>
    <row r="114" spans="1:9" ht="38.25" x14ac:dyDescent="0.2">
      <c r="A114" s="35" t="str">
        <f>HYPERLINK("https://mississippidhs.jamacloud.com/perspective.req?projectId=53&amp;docId=28037","LSRP-SHRQ-113")</f>
        <v>LSRP-SHRQ-113</v>
      </c>
      <c r="B114" s="8" t="s">
        <v>443</v>
      </c>
      <c r="C114" s="35" t="s">
        <v>401</v>
      </c>
      <c r="D114" s="36" t="s">
        <v>33</v>
      </c>
      <c r="E114" s="37" t="s">
        <v>779</v>
      </c>
      <c r="F114" s="35" t="s">
        <v>322</v>
      </c>
      <c r="G114" s="7"/>
      <c r="H114" s="7"/>
      <c r="I114" s="12"/>
    </row>
    <row r="115" spans="1:9" ht="14.25" x14ac:dyDescent="0.2">
      <c r="A115" s="35" t="str">
        <f>HYPERLINK("https://mississippidhs.jamacloud.com/perspective.req?projectId=53&amp;docId=28038","LSRP-SHRQ-114")</f>
        <v>LSRP-SHRQ-114</v>
      </c>
      <c r="B115" s="8" t="s">
        <v>444</v>
      </c>
      <c r="C115" s="35" t="s">
        <v>401</v>
      </c>
      <c r="D115" s="36" t="s">
        <v>33</v>
      </c>
      <c r="E115" s="37" t="s">
        <v>779</v>
      </c>
      <c r="F115" s="35" t="s">
        <v>322</v>
      </c>
      <c r="G115" s="7"/>
      <c r="H115" s="7"/>
      <c r="I115" s="12"/>
    </row>
    <row r="116" spans="1:9" ht="14.25" x14ac:dyDescent="0.2">
      <c r="A116" s="35" t="str">
        <f>HYPERLINK("https://mississippidhs.jamacloud.com/perspective.req?projectId=53&amp;docId=28039","LSRP-SHRQ-115")</f>
        <v>LSRP-SHRQ-115</v>
      </c>
      <c r="B116" s="8" t="s">
        <v>445</v>
      </c>
      <c r="C116" s="35" t="s">
        <v>401</v>
      </c>
      <c r="D116" s="36" t="s">
        <v>33</v>
      </c>
      <c r="E116" s="37" t="s">
        <v>779</v>
      </c>
      <c r="F116" s="35" t="s">
        <v>322</v>
      </c>
      <c r="G116" s="7"/>
      <c r="H116" s="7"/>
      <c r="I116" s="12"/>
    </row>
    <row r="117" spans="1:9" ht="38.25" x14ac:dyDescent="0.2">
      <c r="A117" s="35" t="str">
        <f>HYPERLINK("https://mississippidhs.jamacloud.com/perspective.req?projectId=53&amp;docId=28040","LSRP-SHRQ-116")</f>
        <v>LSRP-SHRQ-116</v>
      </c>
      <c r="B117" s="8" t="s">
        <v>446</v>
      </c>
      <c r="C117" s="35" t="s">
        <v>401</v>
      </c>
      <c r="D117" s="36" t="s">
        <v>33</v>
      </c>
      <c r="E117" s="37" t="s">
        <v>779</v>
      </c>
      <c r="F117" s="35" t="s">
        <v>322</v>
      </c>
      <c r="G117" s="7"/>
      <c r="H117" s="7"/>
      <c r="I117" s="12"/>
    </row>
    <row r="118" spans="1:9" ht="25.5" x14ac:dyDescent="0.2">
      <c r="A118" s="35" t="str">
        <f>HYPERLINK("https://mississippidhs.jamacloud.com/perspective.req?projectId=53&amp;docId=28041","LSRP-SHRQ-117")</f>
        <v>LSRP-SHRQ-117</v>
      </c>
      <c r="B118" s="8" t="s">
        <v>447</v>
      </c>
      <c r="C118" s="35" t="s">
        <v>401</v>
      </c>
      <c r="D118" s="36" t="s">
        <v>33</v>
      </c>
      <c r="E118" s="37" t="s">
        <v>779</v>
      </c>
      <c r="F118" s="35" t="s">
        <v>420</v>
      </c>
      <c r="G118" s="7"/>
      <c r="H118" s="7"/>
      <c r="I118" s="12"/>
    </row>
    <row r="119" spans="1:9" ht="38.25" x14ac:dyDescent="0.2">
      <c r="A119" s="35" t="str">
        <f>HYPERLINK("https://mississippidhs.jamacloud.com/perspective.req?projectId=53&amp;docId=28042","LSRP-SHRQ-118")</f>
        <v>LSRP-SHRQ-118</v>
      </c>
      <c r="B119" s="8" t="s">
        <v>448</v>
      </c>
      <c r="C119" s="35" t="s">
        <v>401</v>
      </c>
      <c r="D119" s="36" t="s">
        <v>33</v>
      </c>
      <c r="E119" s="37" t="s">
        <v>779</v>
      </c>
      <c r="F119" s="35" t="s">
        <v>394</v>
      </c>
      <c r="G119" s="7"/>
      <c r="H119" s="7"/>
      <c r="I119" s="12"/>
    </row>
    <row r="120" spans="1:9" ht="38.25" x14ac:dyDescent="0.2">
      <c r="A120" s="35" t="str">
        <f>HYPERLINK("https://mississippidhs.jamacloud.com/perspective.req?projectId=53&amp;docId=28043","LSRP-SHRQ-119")</f>
        <v>LSRP-SHRQ-119</v>
      </c>
      <c r="B120" s="8" t="s">
        <v>449</v>
      </c>
      <c r="C120" s="35" t="s">
        <v>401</v>
      </c>
      <c r="D120" s="36" t="s">
        <v>33</v>
      </c>
      <c r="E120" s="37" t="s">
        <v>779</v>
      </c>
      <c r="F120" s="35" t="s">
        <v>322</v>
      </c>
      <c r="G120" s="7"/>
      <c r="H120" s="7"/>
      <c r="I120" s="12"/>
    </row>
    <row r="121" spans="1:9" ht="38.25" x14ac:dyDescent="0.2">
      <c r="A121" s="35" t="str">
        <f>HYPERLINK("https://mississippidhs.jamacloud.com/perspective.req?projectId=53&amp;docId=28044","LSRP-SHRQ-120")</f>
        <v>LSRP-SHRQ-120</v>
      </c>
      <c r="B121" s="8" t="s">
        <v>450</v>
      </c>
      <c r="C121" s="35" t="s">
        <v>401</v>
      </c>
      <c r="D121" s="36" t="s">
        <v>33</v>
      </c>
      <c r="E121" s="37" t="s">
        <v>779</v>
      </c>
      <c r="F121" s="35" t="s">
        <v>322</v>
      </c>
      <c r="G121" s="7"/>
      <c r="H121" s="7"/>
      <c r="I121" s="12"/>
    </row>
    <row r="122" spans="1:9" ht="51" x14ac:dyDescent="0.2">
      <c r="A122" s="35" t="str">
        <f>HYPERLINK("https://mississippidhs.jamacloud.com/perspective.req?projectId=53&amp;docId=28045","LSRP-SHRQ-121")</f>
        <v>LSRP-SHRQ-121</v>
      </c>
      <c r="B122" s="8" t="s">
        <v>451</v>
      </c>
      <c r="C122" s="35" t="s">
        <v>401</v>
      </c>
      <c r="D122" s="36" t="s">
        <v>33</v>
      </c>
      <c r="E122" s="37" t="s">
        <v>779</v>
      </c>
      <c r="F122" s="35" t="s">
        <v>452</v>
      </c>
      <c r="G122" s="7"/>
      <c r="H122" s="7"/>
      <c r="I122" s="12"/>
    </row>
    <row r="123" spans="1:9" ht="25.5" x14ac:dyDescent="0.2">
      <c r="A123" s="35" t="str">
        <f>HYPERLINK("https://mississippidhs.jamacloud.com/perspective.req?projectId=53&amp;docId=28046","LSRP-SHRQ-122")</f>
        <v>LSRP-SHRQ-122</v>
      </c>
      <c r="B123" s="8" t="s">
        <v>453</v>
      </c>
      <c r="C123" s="35" t="s">
        <v>401</v>
      </c>
      <c r="D123" s="36" t="s">
        <v>33</v>
      </c>
      <c r="E123" s="37" t="s">
        <v>779</v>
      </c>
      <c r="F123" s="35" t="s">
        <v>322</v>
      </c>
      <c r="G123" s="7"/>
      <c r="H123" s="7"/>
      <c r="I123" s="12"/>
    </row>
    <row r="124" spans="1:9" ht="51" x14ac:dyDescent="0.2">
      <c r="A124" s="35" t="str">
        <f>HYPERLINK("https://mississippidhs.jamacloud.com/perspective.req?projectId=53&amp;docId=28047","LSRP-SHRQ-123")</f>
        <v>LSRP-SHRQ-123</v>
      </c>
      <c r="B124" s="31" t="s">
        <v>454</v>
      </c>
      <c r="C124" s="35" t="s">
        <v>401</v>
      </c>
      <c r="D124" s="36" t="s">
        <v>33</v>
      </c>
      <c r="E124" s="37" t="s">
        <v>779</v>
      </c>
      <c r="F124" s="35" t="s">
        <v>425</v>
      </c>
      <c r="G124" s="7"/>
      <c r="H124" s="7"/>
      <c r="I124" s="12"/>
    </row>
    <row r="125" spans="1:9" ht="25.5" x14ac:dyDescent="0.2">
      <c r="A125" s="35" t="str">
        <f>HYPERLINK("https://mississippidhs.jamacloud.com/perspective.req?projectId=53&amp;docId=28048","LSRP-SHRQ-124")</f>
        <v>LSRP-SHRQ-124</v>
      </c>
      <c r="B125" s="8" t="s">
        <v>455</v>
      </c>
      <c r="C125" s="35" t="s">
        <v>401</v>
      </c>
      <c r="D125" s="36" t="s">
        <v>33</v>
      </c>
      <c r="E125" s="37" t="s">
        <v>779</v>
      </c>
      <c r="F125" s="35" t="s">
        <v>322</v>
      </c>
      <c r="G125" s="7"/>
      <c r="H125" s="7"/>
      <c r="I125" s="12"/>
    </row>
    <row r="126" spans="1:9" ht="25.5" x14ac:dyDescent="0.2">
      <c r="A126" s="35" t="str">
        <f>HYPERLINK("https://mississippidhs.jamacloud.com/perspective.req?projectId=53&amp;docId=28049","LSRP-SHRQ-125")</f>
        <v>LSRP-SHRQ-125</v>
      </c>
      <c r="B126" s="8" t="s">
        <v>456</v>
      </c>
      <c r="C126" s="35" t="s">
        <v>401</v>
      </c>
      <c r="D126" s="36" t="s">
        <v>33</v>
      </c>
      <c r="E126" s="37" t="s">
        <v>779</v>
      </c>
      <c r="F126" s="35" t="s">
        <v>425</v>
      </c>
      <c r="G126" s="7"/>
      <c r="H126" s="7"/>
      <c r="I126" s="12"/>
    </row>
    <row r="127" spans="1:9" ht="51" x14ac:dyDescent="0.2">
      <c r="A127" s="35" t="str">
        <f>HYPERLINK("https://mississippidhs.jamacloud.com/perspective.req?projectId=53&amp;docId=28050","LSRP-SHRQ-126")</f>
        <v>LSRP-SHRQ-126</v>
      </c>
      <c r="B127" s="8" t="s">
        <v>457</v>
      </c>
      <c r="C127" s="35" t="s">
        <v>401</v>
      </c>
      <c r="D127" s="36" t="s">
        <v>33</v>
      </c>
      <c r="E127" s="37" t="s">
        <v>779</v>
      </c>
      <c r="F127" s="35" t="s">
        <v>322</v>
      </c>
      <c r="G127" s="7"/>
      <c r="H127" s="7"/>
      <c r="I127" s="12"/>
    </row>
    <row r="128" spans="1:9" ht="25.5" x14ac:dyDescent="0.2">
      <c r="A128" s="35" t="str">
        <f>HYPERLINK("https://mississippidhs.jamacloud.com/perspective.req?projectId=53&amp;docId=28051","LSRP-SHRQ-127")</f>
        <v>LSRP-SHRQ-127</v>
      </c>
      <c r="B128" s="8" t="s">
        <v>458</v>
      </c>
      <c r="C128" s="35" t="s">
        <v>401</v>
      </c>
      <c r="D128" s="36" t="s">
        <v>33</v>
      </c>
      <c r="E128" s="37" t="s">
        <v>779</v>
      </c>
      <c r="F128" s="35" t="s">
        <v>322</v>
      </c>
      <c r="G128" s="7"/>
      <c r="H128" s="7"/>
      <c r="I128" s="12"/>
    </row>
    <row r="129" spans="1:9" ht="25.5" x14ac:dyDescent="0.2">
      <c r="A129" s="35" t="str">
        <f>HYPERLINK("https://mississippidhs.jamacloud.com/perspective.req?projectId=53&amp;docId=28052","LSRP-SHRQ-128")</f>
        <v>LSRP-SHRQ-128</v>
      </c>
      <c r="B129" s="8" t="s">
        <v>459</v>
      </c>
      <c r="C129" s="35" t="s">
        <v>401</v>
      </c>
      <c r="D129" s="36" t="s">
        <v>33</v>
      </c>
      <c r="E129" s="37" t="s">
        <v>779</v>
      </c>
      <c r="F129" s="35" t="s">
        <v>322</v>
      </c>
      <c r="G129" s="7"/>
      <c r="H129" s="7"/>
      <c r="I129" s="12"/>
    </row>
    <row r="130" spans="1:9" ht="25.5" x14ac:dyDescent="0.2">
      <c r="A130" s="35" t="str">
        <f>HYPERLINK("https://mississippidhs.jamacloud.com/perspective.req?projectId=53&amp;docId=28053","LSRP-SHRQ-129")</f>
        <v>LSRP-SHRQ-129</v>
      </c>
      <c r="B130" s="8" t="s">
        <v>460</v>
      </c>
      <c r="C130" s="35" t="s">
        <v>401</v>
      </c>
      <c r="D130" s="36" t="s">
        <v>33</v>
      </c>
      <c r="E130" s="37" t="s">
        <v>779</v>
      </c>
      <c r="F130" s="35" t="s">
        <v>322</v>
      </c>
      <c r="G130" s="7"/>
      <c r="H130" s="7"/>
      <c r="I130" s="12"/>
    </row>
    <row r="131" spans="1:9" ht="14.25" x14ac:dyDescent="0.2">
      <c r="A131" s="35" t="str">
        <f>HYPERLINK("https://mississippidhs.jamacloud.com/perspective.req?projectId=53&amp;docId=28054","LSRP-SHRQ-130")</f>
        <v>LSRP-SHRQ-130</v>
      </c>
      <c r="B131" s="8" t="s">
        <v>461</v>
      </c>
      <c r="C131" s="35" t="s">
        <v>401</v>
      </c>
      <c r="D131" s="36" t="s">
        <v>33</v>
      </c>
      <c r="E131" s="37" t="s">
        <v>779</v>
      </c>
      <c r="F131" s="35" t="s">
        <v>322</v>
      </c>
      <c r="G131" s="7"/>
      <c r="H131" s="7"/>
      <c r="I131" s="12"/>
    </row>
    <row r="132" spans="1:9" ht="25.5" x14ac:dyDescent="0.2">
      <c r="A132" s="35" t="str">
        <f>HYPERLINK("https://mississippidhs.jamacloud.com/perspective.req?projectId=53&amp;docId=28055","LSRP-SHRQ-131")</f>
        <v>LSRP-SHRQ-131</v>
      </c>
      <c r="B132" s="8" t="s">
        <v>462</v>
      </c>
      <c r="C132" s="35" t="s">
        <v>401</v>
      </c>
      <c r="D132" s="36" t="s">
        <v>33</v>
      </c>
      <c r="E132" s="37" t="s">
        <v>779</v>
      </c>
      <c r="F132" s="35" t="s">
        <v>322</v>
      </c>
      <c r="G132" s="7"/>
      <c r="H132" s="7"/>
      <c r="I132" s="12"/>
    </row>
    <row r="133" spans="1:9" ht="25.5" x14ac:dyDescent="0.2">
      <c r="A133" s="35" t="str">
        <f>HYPERLINK("https://mississippidhs.jamacloud.com/perspective.req?projectId=53&amp;docId=28056","LSRP-SHRQ-132")</f>
        <v>LSRP-SHRQ-132</v>
      </c>
      <c r="B133" s="8" t="s">
        <v>463</v>
      </c>
      <c r="C133" s="35" t="s">
        <v>401</v>
      </c>
      <c r="D133" s="36" t="s">
        <v>33</v>
      </c>
      <c r="E133" s="37" t="s">
        <v>779</v>
      </c>
      <c r="F133" s="35" t="s">
        <v>322</v>
      </c>
      <c r="G133" s="7"/>
      <c r="H133" s="7"/>
      <c r="I133" s="12"/>
    </row>
    <row r="134" spans="1:9" ht="25.5" x14ac:dyDescent="0.2">
      <c r="A134" s="35" t="str">
        <f>HYPERLINK("https://mississippidhs.jamacloud.com/perspective.req?projectId=53&amp;docId=28057","LSRP-SHRQ-133")</f>
        <v>LSRP-SHRQ-133</v>
      </c>
      <c r="B134" s="8" t="s">
        <v>464</v>
      </c>
      <c r="C134" s="35" t="s">
        <v>401</v>
      </c>
      <c r="D134" s="36" t="s">
        <v>33</v>
      </c>
      <c r="E134" s="37" t="s">
        <v>779</v>
      </c>
      <c r="F134" s="35" t="s">
        <v>322</v>
      </c>
      <c r="G134" s="7"/>
      <c r="H134" s="7"/>
      <c r="I134" s="12"/>
    </row>
    <row r="135" spans="1:9" ht="25.5" x14ac:dyDescent="0.2">
      <c r="A135" s="35" t="str">
        <f>HYPERLINK("https://mississippidhs.jamacloud.com/perspective.req?projectId=53&amp;docId=28058","LSRP-SHRQ-134")</f>
        <v>LSRP-SHRQ-134</v>
      </c>
      <c r="B135" s="8" t="s">
        <v>465</v>
      </c>
      <c r="C135" s="35" t="s">
        <v>401</v>
      </c>
      <c r="D135" s="36" t="s">
        <v>33</v>
      </c>
      <c r="E135" s="37" t="s">
        <v>779</v>
      </c>
      <c r="F135" s="35" t="s">
        <v>322</v>
      </c>
      <c r="G135" s="7"/>
      <c r="H135" s="7"/>
      <c r="I135" s="12"/>
    </row>
    <row r="136" spans="1:9" ht="38.25" x14ac:dyDescent="0.2">
      <c r="A136" s="35" t="str">
        <f>HYPERLINK("https://mississippidhs.jamacloud.com/perspective.req?projectId=53&amp;docId=28059","LSRP-SHRQ-135")</f>
        <v>LSRP-SHRQ-135</v>
      </c>
      <c r="B136" s="8" t="s">
        <v>466</v>
      </c>
      <c r="C136" s="35" t="s">
        <v>401</v>
      </c>
      <c r="D136" s="36" t="s">
        <v>33</v>
      </c>
      <c r="E136" s="37" t="s">
        <v>779</v>
      </c>
      <c r="F136" s="35" t="s">
        <v>322</v>
      </c>
      <c r="G136" s="7"/>
      <c r="H136" s="7"/>
      <c r="I136" s="12"/>
    </row>
    <row r="137" spans="1:9" ht="25.5" x14ac:dyDescent="0.2">
      <c r="A137" s="35" t="str">
        <f>HYPERLINK("https://mississippidhs.jamacloud.com/perspective.req?projectId=53&amp;docId=28060","LSRP-SHRQ-136")</f>
        <v>LSRP-SHRQ-136</v>
      </c>
      <c r="B137" s="8" t="s">
        <v>467</v>
      </c>
      <c r="C137" s="35" t="s">
        <v>401</v>
      </c>
      <c r="D137" s="36" t="s">
        <v>33</v>
      </c>
      <c r="E137" s="37" t="s">
        <v>779</v>
      </c>
      <c r="F137" s="35" t="s">
        <v>322</v>
      </c>
      <c r="G137" s="7"/>
      <c r="H137" s="7"/>
      <c r="I137" s="12"/>
    </row>
    <row r="138" spans="1:9" ht="51" x14ac:dyDescent="0.2">
      <c r="A138" s="35" t="str">
        <f>HYPERLINK("https://mississippidhs.jamacloud.com/perspective.req?projectId=53&amp;docId=28061","LSRP-SHRQ-137")</f>
        <v>LSRP-SHRQ-137</v>
      </c>
      <c r="B138" s="8" t="s">
        <v>468</v>
      </c>
      <c r="C138" s="35" t="s">
        <v>401</v>
      </c>
      <c r="D138" s="36" t="s">
        <v>33</v>
      </c>
      <c r="E138" s="37" t="s">
        <v>779</v>
      </c>
      <c r="F138" s="35" t="s">
        <v>425</v>
      </c>
      <c r="G138" s="7"/>
      <c r="H138" s="7"/>
      <c r="I138" s="12"/>
    </row>
    <row r="139" spans="1:9" ht="38.25" x14ac:dyDescent="0.2">
      <c r="A139" s="35" t="str">
        <f>HYPERLINK("https://mississippidhs.jamacloud.com/perspective.req?projectId=53&amp;docId=28062","LSRP-SHRQ-138")</f>
        <v>LSRP-SHRQ-138</v>
      </c>
      <c r="B139" s="8" t="s">
        <v>469</v>
      </c>
      <c r="C139" s="35" t="s">
        <v>401</v>
      </c>
      <c r="D139" s="36" t="s">
        <v>33</v>
      </c>
      <c r="E139" s="37" t="s">
        <v>779</v>
      </c>
      <c r="F139" s="35" t="s">
        <v>394</v>
      </c>
      <c r="G139" s="7"/>
      <c r="H139" s="7"/>
      <c r="I139" s="12"/>
    </row>
    <row r="140" spans="1:9" ht="25.5" x14ac:dyDescent="0.2">
      <c r="A140" s="35" t="str">
        <f>HYPERLINK("https://mississippidhs.jamacloud.com/perspective.req?projectId=53&amp;docId=28063","LSRP-SHRQ-139")</f>
        <v>LSRP-SHRQ-139</v>
      </c>
      <c r="B140" s="8" t="s">
        <v>470</v>
      </c>
      <c r="C140" s="35" t="s">
        <v>401</v>
      </c>
      <c r="D140" s="36" t="s">
        <v>33</v>
      </c>
      <c r="E140" s="37" t="s">
        <v>779</v>
      </c>
      <c r="F140" s="35" t="s">
        <v>394</v>
      </c>
      <c r="G140" s="7"/>
      <c r="H140" s="7"/>
      <c r="I140" s="12"/>
    </row>
    <row r="141" spans="1:9" ht="38.25" x14ac:dyDescent="0.2">
      <c r="A141" s="35" t="str">
        <f>HYPERLINK("https://mississippidhs.jamacloud.com/perspective.req?projectId=53&amp;docId=28064","LSRP-SHRQ-140")</f>
        <v>LSRP-SHRQ-140</v>
      </c>
      <c r="B141" s="8" t="s">
        <v>471</v>
      </c>
      <c r="C141" s="35" t="s">
        <v>401</v>
      </c>
      <c r="D141" s="36" t="s">
        <v>33</v>
      </c>
      <c r="E141" s="37" t="s">
        <v>779</v>
      </c>
      <c r="F141" s="35" t="s">
        <v>425</v>
      </c>
      <c r="G141" s="7"/>
      <c r="H141" s="7"/>
      <c r="I141" s="12"/>
    </row>
    <row r="142" spans="1:9" ht="38.25" x14ac:dyDescent="0.2">
      <c r="A142" s="35" t="str">
        <f>HYPERLINK("https://mississippidhs.jamacloud.com/perspective.req?projectId=53&amp;docId=28065","LSRP-SHRQ-141")</f>
        <v>LSRP-SHRQ-141</v>
      </c>
      <c r="B142" s="8" t="s">
        <v>472</v>
      </c>
      <c r="C142" s="35" t="s">
        <v>401</v>
      </c>
      <c r="D142" s="36" t="s">
        <v>33</v>
      </c>
      <c r="E142" s="37" t="s">
        <v>779</v>
      </c>
      <c r="F142" s="35" t="s">
        <v>394</v>
      </c>
      <c r="G142" s="7"/>
      <c r="H142" s="7"/>
      <c r="I142" s="12"/>
    </row>
    <row r="143" spans="1:9" ht="38.25" x14ac:dyDescent="0.2">
      <c r="A143" s="35" t="str">
        <f>HYPERLINK("https://mississippidhs.jamacloud.com/perspective.req?projectId=53&amp;docId=28066","LSRP-SHRQ-142")</f>
        <v>LSRP-SHRQ-142</v>
      </c>
      <c r="B143" s="31" t="s">
        <v>473</v>
      </c>
      <c r="C143" s="35" t="s">
        <v>401</v>
      </c>
      <c r="D143" s="36" t="s">
        <v>33</v>
      </c>
      <c r="E143" s="37" t="s">
        <v>779</v>
      </c>
      <c r="F143" s="35" t="s">
        <v>394</v>
      </c>
      <c r="G143" s="7"/>
      <c r="H143" s="7"/>
      <c r="I143" s="12"/>
    </row>
    <row r="144" spans="1:9" ht="51" x14ac:dyDescent="0.2">
      <c r="A144" s="35" t="str">
        <f>HYPERLINK("https://mississippidhs.jamacloud.com/perspective.req?projectId=53&amp;docId=28067","LSRP-SHRQ-143")</f>
        <v>LSRP-SHRQ-143</v>
      </c>
      <c r="B144" s="31" t="s">
        <v>474</v>
      </c>
      <c r="C144" s="35" t="s">
        <v>401</v>
      </c>
      <c r="D144" s="36" t="s">
        <v>33</v>
      </c>
      <c r="E144" s="37" t="s">
        <v>779</v>
      </c>
      <c r="F144" s="35" t="s">
        <v>322</v>
      </c>
      <c r="G144" s="7"/>
      <c r="H144" s="7"/>
      <c r="I144" s="12"/>
    </row>
    <row r="145" spans="1:9" ht="25.5" x14ac:dyDescent="0.2">
      <c r="A145" s="35" t="str">
        <f>HYPERLINK("https://mississippidhs.jamacloud.com/perspective.req?projectId=53&amp;docId=28068","LSRP-SHRQ-144")</f>
        <v>LSRP-SHRQ-144</v>
      </c>
      <c r="B145" s="8" t="s">
        <v>475</v>
      </c>
      <c r="C145" s="35" t="s">
        <v>401</v>
      </c>
      <c r="D145" s="36" t="s">
        <v>33</v>
      </c>
      <c r="E145" s="37" t="s">
        <v>779</v>
      </c>
      <c r="F145" s="35" t="s">
        <v>322</v>
      </c>
      <c r="G145" s="7"/>
      <c r="H145" s="7"/>
      <c r="I145" s="12"/>
    </row>
    <row r="146" spans="1:9" ht="25.5" x14ac:dyDescent="0.2">
      <c r="A146" s="35" t="str">
        <f>HYPERLINK("https://mississippidhs.jamacloud.com/perspective.req?projectId=53&amp;docId=28069","LSRP-SHRQ-145")</f>
        <v>LSRP-SHRQ-145</v>
      </c>
      <c r="B146" s="8" t="s">
        <v>476</v>
      </c>
      <c r="C146" s="35" t="s">
        <v>401</v>
      </c>
      <c r="D146" s="36" t="s">
        <v>33</v>
      </c>
      <c r="E146" s="37" t="s">
        <v>779</v>
      </c>
      <c r="F146" s="35" t="s">
        <v>322</v>
      </c>
      <c r="G146" s="7"/>
      <c r="H146" s="7"/>
      <c r="I146" s="12"/>
    </row>
    <row r="147" spans="1:9" ht="51" x14ac:dyDescent="0.2">
      <c r="A147" s="35" t="str">
        <f>HYPERLINK("https://mississippidhs.jamacloud.com/perspective.req?projectId=53&amp;docId=28071","LSRP-SHRQ-146")</f>
        <v>LSRP-SHRQ-146</v>
      </c>
      <c r="B147" s="8" t="s">
        <v>477</v>
      </c>
      <c r="C147" s="35" t="s">
        <v>319</v>
      </c>
      <c r="D147" s="36" t="s">
        <v>478</v>
      </c>
      <c r="E147" s="37" t="s">
        <v>779</v>
      </c>
      <c r="F147" s="35" t="s">
        <v>322</v>
      </c>
      <c r="G147" s="7"/>
      <c r="H147" s="7"/>
      <c r="I147" s="12"/>
    </row>
    <row r="148" spans="1:9" ht="25.5" x14ac:dyDescent="0.2">
      <c r="A148" s="35" t="str">
        <f>HYPERLINK("https://mississippidhs.jamacloud.com/perspective.req?projectId=53&amp;docId=28072","LSRP-SHRQ-147")</f>
        <v>LSRP-SHRQ-147</v>
      </c>
      <c r="B148" s="8" t="s">
        <v>479</v>
      </c>
      <c r="C148" s="35" t="s">
        <v>319</v>
      </c>
      <c r="D148" s="36" t="s">
        <v>478</v>
      </c>
      <c r="E148" s="37" t="s">
        <v>779</v>
      </c>
      <c r="F148" s="35" t="s">
        <v>322</v>
      </c>
      <c r="G148" s="7"/>
      <c r="H148" s="7"/>
      <c r="I148" s="12"/>
    </row>
    <row r="149" spans="1:9" ht="25.5" x14ac:dyDescent="0.2">
      <c r="A149" s="35" t="str">
        <f>HYPERLINK("https://mississippidhs.jamacloud.com/perspective.req?projectId=53&amp;docId=28073","LSRP-SHRQ-148")</f>
        <v>LSRP-SHRQ-148</v>
      </c>
      <c r="B149" s="8" t="s">
        <v>480</v>
      </c>
      <c r="C149" s="35" t="s">
        <v>319</v>
      </c>
      <c r="D149" s="36" t="s">
        <v>478</v>
      </c>
      <c r="E149" s="37" t="s">
        <v>779</v>
      </c>
      <c r="F149" s="35" t="s">
        <v>322</v>
      </c>
      <c r="G149" s="7"/>
      <c r="H149" s="7"/>
      <c r="I149" s="12"/>
    </row>
    <row r="150" spans="1:9" ht="38.25" x14ac:dyDescent="0.2">
      <c r="A150" s="35" t="str">
        <f>HYPERLINK("https://mississippidhs.jamacloud.com/perspective.req?projectId=53&amp;docId=28074","LSRP-SHRQ-149")</f>
        <v>LSRP-SHRQ-149</v>
      </c>
      <c r="B150" s="8" t="s">
        <v>481</v>
      </c>
      <c r="C150" s="35" t="s">
        <v>319</v>
      </c>
      <c r="D150" s="36" t="s">
        <v>478</v>
      </c>
      <c r="E150" s="37" t="s">
        <v>779</v>
      </c>
      <c r="F150" s="35" t="s">
        <v>322</v>
      </c>
      <c r="G150" s="7"/>
      <c r="H150" s="7"/>
      <c r="I150" s="12"/>
    </row>
    <row r="151" spans="1:9" ht="51" x14ac:dyDescent="0.2">
      <c r="A151" s="35" t="str">
        <f>HYPERLINK("https://mississippidhs.jamacloud.com/perspective.req?projectId=53&amp;docId=28075","LSRP-SHRQ-150")</f>
        <v>LSRP-SHRQ-150</v>
      </c>
      <c r="B151" s="8" t="s">
        <v>482</v>
      </c>
      <c r="C151" s="35" t="s">
        <v>319</v>
      </c>
      <c r="D151" s="36" t="s">
        <v>478</v>
      </c>
      <c r="E151" s="37" t="s">
        <v>779</v>
      </c>
      <c r="F151" s="35" t="s">
        <v>322</v>
      </c>
      <c r="G151" s="7"/>
      <c r="H151" s="7"/>
      <c r="I151" s="12"/>
    </row>
    <row r="152" spans="1:9" ht="25.5" x14ac:dyDescent="0.2">
      <c r="A152" s="35" t="str">
        <f>HYPERLINK("https://mississippidhs.jamacloud.com/perspective.req?projectId=53&amp;docId=28076","LSRP-SHRQ-151")</f>
        <v>LSRP-SHRQ-151</v>
      </c>
      <c r="B152" s="8" t="s">
        <v>483</v>
      </c>
      <c r="C152" s="35" t="s">
        <v>319</v>
      </c>
      <c r="D152" s="36" t="s">
        <v>478</v>
      </c>
      <c r="E152" s="37" t="s">
        <v>779</v>
      </c>
      <c r="F152" s="35" t="s">
        <v>322</v>
      </c>
      <c r="G152" s="7"/>
      <c r="H152" s="7"/>
      <c r="I152" s="12"/>
    </row>
    <row r="153" spans="1:9" ht="25.5" x14ac:dyDescent="0.2">
      <c r="A153" s="35" t="str">
        <f>HYPERLINK("https://mississippidhs.jamacloud.com/perspective.req?projectId=53&amp;docId=28077","LSRP-SHRQ-152")</f>
        <v>LSRP-SHRQ-152</v>
      </c>
      <c r="B153" s="8" t="s">
        <v>484</v>
      </c>
      <c r="C153" s="35" t="s">
        <v>319</v>
      </c>
      <c r="D153" s="36" t="s">
        <v>478</v>
      </c>
      <c r="E153" s="37" t="s">
        <v>779</v>
      </c>
      <c r="F153" s="35" t="s">
        <v>322</v>
      </c>
      <c r="G153" s="7"/>
      <c r="H153" s="7"/>
      <c r="I153" s="12"/>
    </row>
    <row r="154" spans="1:9" ht="38.25" x14ac:dyDescent="0.2">
      <c r="A154" s="35" t="str">
        <f>HYPERLINK("https://mississippidhs.jamacloud.com/perspective.req?projectId=53&amp;docId=28078","LSRP-SHRQ-153")</f>
        <v>LSRP-SHRQ-153</v>
      </c>
      <c r="B154" s="8" t="s">
        <v>485</v>
      </c>
      <c r="C154" s="35" t="s">
        <v>319</v>
      </c>
      <c r="D154" s="36" t="s">
        <v>478</v>
      </c>
      <c r="E154" s="37" t="s">
        <v>779</v>
      </c>
      <c r="F154" s="35" t="s">
        <v>322</v>
      </c>
      <c r="G154" s="7"/>
      <c r="H154" s="7"/>
      <c r="I154" s="12"/>
    </row>
    <row r="155" spans="1:9" ht="25.5" x14ac:dyDescent="0.2">
      <c r="A155" s="35" t="str">
        <f>HYPERLINK("https://mississippidhs.jamacloud.com/perspective.req?projectId=53&amp;docId=28079","LSRP-SHRQ-154")</f>
        <v>LSRP-SHRQ-154</v>
      </c>
      <c r="B155" s="8" t="s">
        <v>486</v>
      </c>
      <c r="C155" s="35" t="s">
        <v>319</v>
      </c>
      <c r="D155" s="36" t="s">
        <v>478</v>
      </c>
      <c r="E155" s="37" t="s">
        <v>779</v>
      </c>
      <c r="F155" s="35" t="s">
        <v>322</v>
      </c>
      <c r="G155" s="7"/>
      <c r="H155" s="7"/>
      <c r="I155" s="12"/>
    </row>
    <row r="156" spans="1:9" ht="76.5" x14ac:dyDescent="0.2">
      <c r="A156" s="35" t="str">
        <f>HYPERLINK("https://mississippidhs.jamacloud.com/perspective.req?projectId=53&amp;docId=28080","LSRP-SHRQ-155")</f>
        <v>LSRP-SHRQ-155</v>
      </c>
      <c r="B156" s="8" t="s">
        <v>487</v>
      </c>
      <c r="C156" s="35" t="s">
        <v>319</v>
      </c>
      <c r="D156" s="36" t="s">
        <v>478</v>
      </c>
      <c r="E156" s="37" t="s">
        <v>779</v>
      </c>
      <c r="F156" s="35" t="s">
        <v>322</v>
      </c>
      <c r="G156" s="7"/>
      <c r="H156" s="7"/>
      <c r="I156" s="12"/>
    </row>
    <row r="157" spans="1:9" ht="38.25" x14ac:dyDescent="0.2">
      <c r="A157" s="35" t="str">
        <f>HYPERLINK("https://mississippidhs.jamacloud.com/perspective.req?projectId=53&amp;docId=28082","LSRP-SHRQ-156")</f>
        <v>LSRP-SHRQ-156</v>
      </c>
      <c r="B157" s="8" t="s">
        <v>488</v>
      </c>
      <c r="C157" s="35" t="s">
        <v>319</v>
      </c>
      <c r="D157" s="36" t="s">
        <v>489</v>
      </c>
      <c r="E157" s="37" t="s">
        <v>779</v>
      </c>
      <c r="F157" s="35" t="s">
        <v>322</v>
      </c>
      <c r="G157" s="7"/>
      <c r="H157" s="7"/>
      <c r="I157" s="12"/>
    </row>
    <row r="158" spans="1:9" ht="51" x14ac:dyDescent="0.2">
      <c r="A158" s="35" t="str">
        <f>HYPERLINK("https://mississippidhs.jamacloud.com/perspective.req?projectId=53&amp;docId=28083","LSRP-SHRQ-157")</f>
        <v>LSRP-SHRQ-157</v>
      </c>
      <c r="B158" s="8" t="s">
        <v>490</v>
      </c>
      <c r="C158" s="35" t="s">
        <v>319</v>
      </c>
      <c r="D158" s="36" t="s">
        <v>489</v>
      </c>
      <c r="E158" s="37" t="s">
        <v>779</v>
      </c>
      <c r="F158" s="35" t="s">
        <v>322</v>
      </c>
      <c r="G158" s="7"/>
      <c r="H158" s="7"/>
      <c r="I158" s="12"/>
    </row>
    <row r="159" spans="1:9" ht="51" x14ac:dyDescent="0.2">
      <c r="A159" s="35" t="str">
        <f>HYPERLINK("https://mississippidhs.jamacloud.com/perspective.req?projectId=53&amp;docId=28084","LSRP-SHRQ-158")</f>
        <v>LSRP-SHRQ-158</v>
      </c>
      <c r="B159" s="8" t="s">
        <v>491</v>
      </c>
      <c r="C159" s="35" t="s">
        <v>319</v>
      </c>
      <c r="D159" s="36" t="s">
        <v>489</v>
      </c>
      <c r="E159" s="37" t="s">
        <v>779</v>
      </c>
      <c r="F159" s="35" t="s">
        <v>322</v>
      </c>
      <c r="G159" s="7"/>
      <c r="H159" s="7"/>
      <c r="I159" s="12"/>
    </row>
    <row r="160" spans="1:9" ht="38.25" x14ac:dyDescent="0.2">
      <c r="A160" s="35" t="str">
        <f>HYPERLINK("https://mississippidhs.jamacloud.com/perspective.req?projectId=53&amp;docId=28085","LSRP-SHRQ-159")</f>
        <v>LSRP-SHRQ-159</v>
      </c>
      <c r="B160" s="8" t="s">
        <v>492</v>
      </c>
      <c r="C160" s="35" t="s">
        <v>319</v>
      </c>
      <c r="D160" s="36" t="s">
        <v>489</v>
      </c>
      <c r="E160" s="37" t="s">
        <v>779</v>
      </c>
      <c r="F160" s="35" t="s">
        <v>322</v>
      </c>
      <c r="G160" s="7"/>
      <c r="H160" s="7"/>
      <c r="I160" s="12"/>
    </row>
    <row r="161" spans="1:9" ht="38.25" x14ac:dyDescent="0.2">
      <c r="A161" s="35" t="str">
        <f>HYPERLINK("https://mississippidhs.jamacloud.com/perspective.req?projectId=53&amp;docId=28086","LSRP-SHRQ-160")</f>
        <v>LSRP-SHRQ-160</v>
      </c>
      <c r="B161" s="8" t="s">
        <v>493</v>
      </c>
      <c r="C161" s="35" t="s">
        <v>319</v>
      </c>
      <c r="D161" s="36" t="s">
        <v>489</v>
      </c>
      <c r="E161" s="37" t="s">
        <v>779</v>
      </c>
      <c r="F161" s="35" t="s">
        <v>322</v>
      </c>
      <c r="G161" s="7"/>
      <c r="H161" s="7"/>
      <c r="I161" s="12"/>
    </row>
    <row r="162" spans="1:9" ht="38.25" x14ac:dyDescent="0.2">
      <c r="A162" s="35" t="str">
        <f>HYPERLINK("https://mississippidhs.jamacloud.com/perspective.req?projectId=53&amp;docId=28087","LSRP-SHRQ-161")</f>
        <v>LSRP-SHRQ-161</v>
      </c>
      <c r="B162" s="8" t="s">
        <v>494</v>
      </c>
      <c r="C162" s="35" t="s">
        <v>319</v>
      </c>
      <c r="D162" s="36" t="s">
        <v>489</v>
      </c>
      <c r="E162" s="37" t="s">
        <v>779</v>
      </c>
      <c r="F162" s="35" t="s">
        <v>322</v>
      </c>
      <c r="G162" s="7"/>
      <c r="H162" s="7"/>
      <c r="I162" s="12"/>
    </row>
    <row r="163" spans="1:9" ht="38.25" x14ac:dyDescent="0.2">
      <c r="A163" s="35" t="str">
        <f>HYPERLINK("https://mississippidhs.jamacloud.com/perspective.req?projectId=53&amp;docId=28088","LSRP-SHRQ-162")</f>
        <v>LSRP-SHRQ-162</v>
      </c>
      <c r="B163" s="8" t="s">
        <v>495</v>
      </c>
      <c r="C163" s="35" t="s">
        <v>319</v>
      </c>
      <c r="D163" s="36" t="s">
        <v>489</v>
      </c>
      <c r="E163" s="37" t="s">
        <v>779</v>
      </c>
      <c r="F163" s="35" t="s">
        <v>322</v>
      </c>
      <c r="G163" s="7"/>
      <c r="H163" s="7"/>
      <c r="I163" s="12"/>
    </row>
    <row r="164" spans="1:9" ht="63.75" x14ac:dyDescent="0.2">
      <c r="A164" s="35" t="str">
        <f>HYPERLINK("https://mississippidhs.jamacloud.com/perspective.req?projectId=53&amp;docId=28089","LSRP-SHRQ-163")</f>
        <v>LSRP-SHRQ-163</v>
      </c>
      <c r="B164" s="8" t="s">
        <v>496</v>
      </c>
      <c r="C164" s="35" t="s">
        <v>319</v>
      </c>
      <c r="D164" s="36" t="s">
        <v>489</v>
      </c>
      <c r="E164" s="37" t="s">
        <v>779</v>
      </c>
      <c r="F164" s="35" t="s">
        <v>322</v>
      </c>
      <c r="G164" s="7"/>
      <c r="H164" s="7"/>
      <c r="I164" s="12"/>
    </row>
    <row r="165" spans="1:9" ht="51" x14ac:dyDescent="0.2">
      <c r="A165" s="35" t="str">
        <f>HYPERLINK("https://mississippidhs.jamacloud.com/perspective.req?projectId=53&amp;docId=28091","LSRP-SHRQ-164")</f>
        <v>LSRP-SHRQ-164</v>
      </c>
      <c r="B165" s="8" t="s">
        <v>497</v>
      </c>
      <c r="C165" s="35" t="s">
        <v>319</v>
      </c>
      <c r="D165" s="36" t="s">
        <v>498</v>
      </c>
      <c r="E165" s="37" t="s">
        <v>779</v>
      </c>
      <c r="F165" s="35" t="s">
        <v>322</v>
      </c>
      <c r="G165" s="7"/>
      <c r="H165" s="7"/>
      <c r="I165" s="12"/>
    </row>
    <row r="166" spans="1:9" ht="25.5" x14ac:dyDescent="0.2">
      <c r="A166" s="35" t="str">
        <f>HYPERLINK("https://mississippidhs.jamacloud.com/perspective.req?projectId=53&amp;docId=28092","LSRP-SHRQ-165")</f>
        <v>LSRP-SHRQ-165</v>
      </c>
      <c r="B166" s="8" t="s">
        <v>499</v>
      </c>
      <c r="C166" s="35" t="s">
        <v>319</v>
      </c>
      <c r="D166" s="36" t="s">
        <v>498</v>
      </c>
      <c r="E166" s="37" t="s">
        <v>779</v>
      </c>
      <c r="F166" s="35" t="s">
        <v>322</v>
      </c>
      <c r="G166" s="7"/>
      <c r="H166" s="7"/>
      <c r="I166" s="12"/>
    </row>
    <row r="167" spans="1:9" ht="25.5" x14ac:dyDescent="0.2">
      <c r="A167" s="35" t="str">
        <f>HYPERLINK("https://mississippidhs.jamacloud.com/perspective.req?projectId=53&amp;docId=28093","LSRP-SHRQ-166")</f>
        <v>LSRP-SHRQ-166</v>
      </c>
      <c r="B167" s="8" t="s">
        <v>500</v>
      </c>
      <c r="C167" s="35" t="s">
        <v>319</v>
      </c>
      <c r="D167" s="36" t="s">
        <v>498</v>
      </c>
      <c r="E167" s="37" t="s">
        <v>779</v>
      </c>
      <c r="F167" s="35" t="s">
        <v>322</v>
      </c>
      <c r="G167" s="7"/>
      <c r="H167" s="7"/>
      <c r="I167" s="12"/>
    </row>
    <row r="168" spans="1:9" ht="25.5" x14ac:dyDescent="0.2">
      <c r="A168" s="35" t="str">
        <f>HYPERLINK("https://mississippidhs.jamacloud.com/perspective.req?projectId=53&amp;docId=28094","LSRP-SHRQ-167")</f>
        <v>LSRP-SHRQ-167</v>
      </c>
      <c r="B168" s="8" t="s">
        <v>501</v>
      </c>
      <c r="C168" s="35" t="s">
        <v>319</v>
      </c>
      <c r="D168" s="36" t="s">
        <v>498</v>
      </c>
      <c r="E168" s="37" t="s">
        <v>779</v>
      </c>
      <c r="F168" s="35" t="s">
        <v>322</v>
      </c>
      <c r="G168" s="7"/>
      <c r="H168" s="7"/>
      <c r="I168" s="12"/>
    </row>
    <row r="169" spans="1:9" ht="38.25" x14ac:dyDescent="0.2">
      <c r="A169" s="35" t="str">
        <f>HYPERLINK("https://mississippidhs.jamacloud.com/perspective.req?projectId=53&amp;docId=28095","LSRP-SHRQ-168")</f>
        <v>LSRP-SHRQ-168</v>
      </c>
      <c r="B169" s="8" t="s">
        <v>502</v>
      </c>
      <c r="C169" s="35" t="s">
        <v>319</v>
      </c>
      <c r="D169" s="36" t="s">
        <v>498</v>
      </c>
      <c r="E169" s="37" t="s">
        <v>779</v>
      </c>
      <c r="F169" s="35" t="s">
        <v>322</v>
      </c>
      <c r="G169" s="7"/>
      <c r="H169" s="7"/>
      <c r="I169" s="12"/>
    </row>
    <row r="170" spans="1:9" ht="76.5" x14ac:dyDescent="0.2">
      <c r="A170" s="35" t="str">
        <f>HYPERLINK("https://mississippidhs.jamacloud.com/perspective.req?projectId=53&amp;docId=28096","LSRP-SHRQ-169")</f>
        <v>LSRP-SHRQ-169</v>
      </c>
      <c r="B170" s="8" t="s">
        <v>503</v>
      </c>
      <c r="C170" s="35" t="s">
        <v>319</v>
      </c>
      <c r="D170" s="36" t="s">
        <v>498</v>
      </c>
      <c r="E170" s="37" t="s">
        <v>779</v>
      </c>
      <c r="F170" s="35" t="s">
        <v>322</v>
      </c>
      <c r="G170" s="7"/>
      <c r="H170" s="7"/>
      <c r="I170" s="12"/>
    </row>
    <row r="171" spans="1:9" ht="25.5" x14ac:dyDescent="0.2">
      <c r="A171" s="35" t="str">
        <f>HYPERLINK("https://mississippidhs.jamacloud.com/perspective.req?projectId=53&amp;docId=28097","LSRP-SHRQ-170")</f>
        <v>LSRP-SHRQ-170</v>
      </c>
      <c r="B171" s="8" t="s">
        <v>504</v>
      </c>
      <c r="C171" s="35" t="s">
        <v>319</v>
      </c>
      <c r="D171" s="36" t="s">
        <v>498</v>
      </c>
      <c r="E171" s="37" t="s">
        <v>779</v>
      </c>
      <c r="F171" s="35" t="s">
        <v>322</v>
      </c>
      <c r="G171" s="7"/>
      <c r="H171" s="7"/>
      <c r="I171" s="12"/>
    </row>
    <row r="172" spans="1:9" ht="25.5" x14ac:dyDescent="0.2">
      <c r="A172" s="35" t="str">
        <f>HYPERLINK("https://mississippidhs.jamacloud.com/perspective.req?projectId=53&amp;docId=28098","LSRP-SHRQ-171")</f>
        <v>LSRP-SHRQ-171</v>
      </c>
      <c r="B172" s="8" t="s">
        <v>505</v>
      </c>
      <c r="C172" s="35" t="s">
        <v>319</v>
      </c>
      <c r="D172" s="36" t="s">
        <v>498</v>
      </c>
      <c r="E172" s="37" t="s">
        <v>779</v>
      </c>
      <c r="F172" s="35" t="s">
        <v>322</v>
      </c>
      <c r="G172" s="7"/>
      <c r="H172" s="7"/>
      <c r="I172" s="12"/>
    </row>
    <row r="173" spans="1:9" ht="25.5" x14ac:dyDescent="0.2">
      <c r="A173" s="35" t="str">
        <f>HYPERLINK("https://mississippidhs.jamacloud.com/perspective.req?projectId=53&amp;docId=28099","LSRP-SHRQ-172")</f>
        <v>LSRP-SHRQ-172</v>
      </c>
      <c r="B173" s="8" t="s">
        <v>506</v>
      </c>
      <c r="C173" s="35" t="s">
        <v>319</v>
      </c>
      <c r="D173" s="36" t="s">
        <v>498</v>
      </c>
      <c r="E173" s="37" t="s">
        <v>779</v>
      </c>
      <c r="F173" s="35" t="s">
        <v>322</v>
      </c>
      <c r="G173" s="7"/>
      <c r="H173" s="7"/>
      <c r="I173" s="12"/>
    </row>
    <row r="174" spans="1:9" ht="25.5" x14ac:dyDescent="0.2">
      <c r="A174" s="35" t="str">
        <f>HYPERLINK("https://mississippidhs.jamacloud.com/perspective.req?projectId=53&amp;docId=28100","LSRP-SHRQ-173")</f>
        <v>LSRP-SHRQ-173</v>
      </c>
      <c r="B174" s="8" t="s">
        <v>507</v>
      </c>
      <c r="C174" s="35" t="s">
        <v>319</v>
      </c>
      <c r="D174" s="36" t="s">
        <v>498</v>
      </c>
      <c r="E174" s="37" t="s">
        <v>779</v>
      </c>
      <c r="F174" s="35" t="s">
        <v>322</v>
      </c>
      <c r="G174" s="7"/>
      <c r="H174" s="7"/>
      <c r="I174" s="12"/>
    </row>
    <row r="175" spans="1:9" ht="25.5" x14ac:dyDescent="0.2">
      <c r="A175" s="35" t="str">
        <f>HYPERLINK("https://mississippidhs.jamacloud.com/perspective.req?projectId=53&amp;docId=28101","LSRP-SHRQ-174")</f>
        <v>LSRP-SHRQ-174</v>
      </c>
      <c r="B175" s="8" t="s">
        <v>508</v>
      </c>
      <c r="C175" s="35" t="s">
        <v>319</v>
      </c>
      <c r="D175" s="36" t="s">
        <v>498</v>
      </c>
      <c r="E175" s="37" t="s">
        <v>779</v>
      </c>
      <c r="F175" s="35" t="s">
        <v>394</v>
      </c>
      <c r="G175" s="7"/>
      <c r="H175" s="7"/>
      <c r="I175" s="12"/>
    </row>
    <row r="176" spans="1:9" ht="25.5" x14ac:dyDescent="0.2">
      <c r="A176" s="35" t="str">
        <f>HYPERLINK("https://mississippidhs.jamacloud.com/perspective.req?projectId=53&amp;docId=28102","LSRP-SHRQ-175")</f>
        <v>LSRP-SHRQ-175</v>
      </c>
      <c r="B176" s="8" t="s">
        <v>509</v>
      </c>
      <c r="C176" s="35" t="s">
        <v>319</v>
      </c>
      <c r="D176" s="36" t="s">
        <v>498</v>
      </c>
      <c r="E176" s="37" t="s">
        <v>779</v>
      </c>
      <c r="F176" s="35" t="s">
        <v>394</v>
      </c>
      <c r="G176" s="7"/>
      <c r="H176" s="7"/>
      <c r="I176" s="12"/>
    </row>
    <row r="177" spans="1:9" ht="25.5" x14ac:dyDescent="0.2">
      <c r="A177" s="35" t="str">
        <f>HYPERLINK("https://mississippidhs.jamacloud.com/perspective.req?projectId=53&amp;docId=28103","LSRP-SHRQ-176")</f>
        <v>LSRP-SHRQ-176</v>
      </c>
      <c r="B177" s="8" t="s">
        <v>510</v>
      </c>
      <c r="C177" s="35" t="s">
        <v>319</v>
      </c>
      <c r="D177" s="36" t="s">
        <v>498</v>
      </c>
      <c r="E177" s="37" t="s">
        <v>779</v>
      </c>
      <c r="F177" s="35" t="s">
        <v>394</v>
      </c>
      <c r="G177" s="7"/>
      <c r="H177" s="7"/>
      <c r="I177" s="12"/>
    </row>
    <row r="178" spans="1:9" ht="25.5" x14ac:dyDescent="0.2">
      <c r="A178" s="35" t="str">
        <f>HYPERLINK("https://mississippidhs.jamacloud.com/perspective.req?projectId=53&amp;docId=28104","LSRP-SHRQ-177")</f>
        <v>LSRP-SHRQ-177</v>
      </c>
      <c r="B178" s="8" t="s">
        <v>511</v>
      </c>
      <c r="C178" s="35" t="s">
        <v>319</v>
      </c>
      <c r="D178" s="36" t="s">
        <v>498</v>
      </c>
      <c r="E178" s="37" t="s">
        <v>779</v>
      </c>
      <c r="F178" s="35" t="s">
        <v>322</v>
      </c>
      <c r="G178" s="7"/>
      <c r="H178" s="7"/>
      <c r="I178" s="12"/>
    </row>
    <row r="179" spans="1:9" ht="25.5" x14ac:dyDescent="0.2">
      <c r="A179" s="35" t="str">
        <f>HYPERLINK("https://mississippidhs.jamacloud.com/perspective.req?projectId=53&amp;docId=28105","LSRP-SHRQ-178")</f>
        <v>LSRP-SHRQ-178</v>
      </c>
      <c r="B179" s="8" t="s">
        <v>512</v>
      </c>
      <c r="C179" s="35" t="s">
        <v>319</v>
      </c>
      <c r="D179" s="36" t="s">
        <v>498</v>
      </c>
      <c r="E179" s="37" t="s">
        <v>779</v>
      </c>
      <c r="F179" s="35" t="s">
        <v>322</v>
      </c>
      <c r="G179" s="7"/>
      <c r="H179" s="7"/>
      <c r="I179" s="12"/>
    </row>
    <row r="180" spans="1:9" ht="25.5" x14ac:dyDescent="0.2">
      <c r="A180" s="35" t="str">
        <f>HYPERLINK("https://mississippidhs.jamacloud.com/perspective.req?projectId=53&amp;docId=28106","LSRP-SHRQ-179")</f>
        <v>LSRP-SHRQ-179</v>
      </c>
      <c r="B180" s="8" t="s">
        <v>513</v>
      </c>
      <c r="C180" s="35" t="s">
        <v>319</v>
      </c>
      <c r="D180" s="36" t="s">
        <v>498</v>
      </c>
      <c r="E180" s="37" t="s">
        <v>779</v>
      </c>
      <c r="F180" s="35" t="s">
        <v>322</v>
      </c>
      <c r="G180" s="7"/>
      <c r="H180" s="7"/>
      <c r="I180" s="12"/>
    </row>
    <row r="181" spans="1:9" ht="25.5" x14ac:dyDescent="0.2">
      <c r="A181" s="35" t="str">
        <f>HYPERLINK("https://mississippidhs.jamacloud.com/perspective.req?projectId=53&amp;docId=28107","LSRP-SHRQ-180")</f>
        <v>LSRP-SHRQ-180</v>
      </c>
      <c r="B181" s="8" t="s">
        <v>514</v>
      </c>
      <c r="C181" s="35" t="s">
        <v>319</v>
      </c>
      <c r="D181" s="36" t="s">
        <v>498</v>
      </c>
      <c r="E181" s="37" t="s">
        <v>779</v>
      </c>
      <c r="F181" s="35" t="s">
        <v>322</v>
      </c>
      <c r="G181" s="7"/>
      <c r="H181" s="7"/>
      <c r="I181" s="12"/>
    </row>
    <row r="182" spans="1:9" ht="25.5" x14ac:dyDescent="0.2">
      <c r="A182" s="35" t="str">
        <f>HYPERLINK("https://mississippidhs.jamacloud.com/perspective.req?projectId=53&amp;docId=28108","LSRP-SHRQ-181")</f>
        <v>LSRP-SHRQ-181</v>
      </c>
      <c r="B182" s="8" t="s">
        <v>515</v>
      </c>
      <c r="C182" s="35" t="s">
        <v>319</v>
      </c>
      <c r="D182" s="36" t="s">
        <v>498</v>
      </c>
      <c r="E182" s="37" t="s">
        <v>779</v>
      </c>
      <c r="F182" s="35" t="s">
        <v>322</v>
      </c>
      <c r="G182" s="7"/>
      <c r="H182" s="7"/>
      <c r="I182" s="12"/>
    </row>
    <row r="183" spans="1:9" ht="89.25" x14ac:dyDescent="0.2">
      <c r="A183" s="35" t="str">
        <f>HYPERLINK("https://mississippidhs.jamacloud.com/perspective.req?projectId=53&amp;docId=28110","LSRP-SHRQ-182")</f>
        <v>LSRP-SHRQ-182</v>
      </c>
      <c r="B183" s="8" t="s">
        <v>516</v>
      </c>
      <c r="C183" s="35" t="s">
        <v>319</v>
      </c>
      <c r="D183" s="36" t="s">
        <v>517</v>
      </c>
      <c r="E183" s="37" t="s">
        <v>779</v>
      </c>
      <c r="F183" s="35" t="s">
        <v>322</v>
      </c>
      <c r="G183" s="7"/>
      <c r="H183" s="7"/>
      <c r="I183" s="12"/>
    </row>
    <row r="184" spans="1:9" ht="38.25" x14ac:dyDescent="0.2">
      <c r="A184" s="35" t="str">
        <f>HYPERLINK("https://mississippidhs.jamacloud.com/perspective.req?projectId=53&amp;docId=28111","LSRP-SHRQ-183")</f>
        <v>LSRP-SHRQ-183</v>
      </c>
      <c r="B184" s="8" t="s">
        <v>518</v>
      </c>
      <c r="C184" s="35" t="s">
        <v>319</v>
      </c>
      <c r="D184" s="36" t="s">
        <v>517</v>
      </c>
      <c r="E184" s="37" t="s">
        <v>779</v>
      </c>
      <c r="F184" s="35" t="s">
        <v>322</v>
      </c>
      <c r="G184" s="7"/>
      <c r="H184" s="7"/>
      <c r="I184" s="12"/>
    </row>
    <row r="185" spans="1:9" ht="14.25" x14ac:dyDescent="0.2">
      <c r="A185" s="35" t="str">
        <f>HYPERLINK("https://mississippidhs.jamacloud.com/perspective.req?projectId=53&amp;docId=28112","LSRP-SHRQ-184")</f>
        <v>LSRP-SHRQ-184</v>
      </c>
      <c r="B185" s="8" t="s">
        <v>519</v>
      </c>
      <c r="C185" s="35" t="s">
        <v>319</v>
      </c>
      <c r="D185" s="36" t="s">
        <v>517</v>
      </c>
      <c r="E185" s="37" t="s">
        <v>779</v>
      </c>
      <c r="F185" s="35" t="s">
        <v>322</v>
      </c>
      <c r="G185" s="7"/>
      <c r="H185" s="7"/>
      <c r="I185" s="12"/>
    </row>
    <row r="186" spans="1:9" ht="38.25" x14ac:dyDescent="0.2">
      <c r="A186" s="35" t="str">
        <f>HYPERLINK("https://mississippidhs.jamacloud.com/perspective.req?projectId=53&amp;docId=28113","LSRP-SHRQ-185")</f>
        <v>LSRP-SHRQ-185</v>
      </c>
      <c r="B186" s="8" t="s">
        <v>520</v>
      </c>
      <c r="C186" s="35" t="s">
        <v>319</v>
      </c>
      <c r="D186" s="36" t="s">
        <v>517</v>
      </c>
      <c r="E186" s="37" t="s">
        <v>779</v>
      </c>
      <c r="F186" s="35" t="s">
        <v>322</v>
      </c>
      <c r="G186" s="7"/>
      <c r="H186" s="7"/>
      <c r="I186" s="12"/>
    </row>
    <row r="187" spans="1:9" ht="51" x14ac:dyDescent="0.2">
      <c r="A187" s="35" t="str">
        <f>HYPERLINK("https://mississippidhs.jamacloud.com/perspective.req?projectId=53&amp;docId=28114","LSRP-SHRQ-186")</f>
        <v>LSRP-SHRQ-186</v>
      </c>
      <c r="B187" s="8" t="s">
        <v>521</v>
      </c>
      <c r="C187" s="35" t="s">
        <v>319</v>
      </c>
      <c r="D187" s="36" t="s">
        <v>517</v>
      </c>
      <c r="E187" s="37" t="s">
        <v>779</v>
      </c>
      <c r="F187" s="35" t="s">
        <v>322</v>
      </c>
      <c r="G187" s="7"/>
      <c r="H187" s="7"/>
      <c r="I187" s="12"/>
    </row>
    <row r="188" spans="1:9" ht="38.25" x14ac:dyDescent="0.2">
      <c r="A188" s="35" t="str">
        <f>HYPERLINK("https://mississippidhs.jamacloud.com/perspective.req?projectId=53&amp;docId=28115","LSRP-SHRQ-187")</f>
        <v>LSRP-SHRQ-187</v>
      </c>
      <c r="B188" s="8" t="s">
        <v>522</v>
      </c>
      <c r="C188" s="35" t="s">
        <v>319</v>
      </c>
      <c r="D188" s="36" t="s">
        <v>517</v>
      </c>
      <c r="E188" s="37" t="s">
        <v>779</v>
      </c>
      <c r="F188" s="35" t="s">
        <v>322</v>
      </c>
      <c r="G188" s="7"/>
      <c r="H188" s="7"/>
      <c r="I188" s="12"/>
    </row>
    <row r="189" spans="1:9" ht="25.5" x14ac:dyDescent="0.2">
      <c r="A189" s="35" t="str">
        <f>HYPERLINK("https://mississippidhs.jamacloud.com/perspective.req?projectId=53&amp;docId=28116","LSRP-SHRQ-188")</f>
        <v>LSRP-SHRQ-188</v>
      </c>
      <c r="B189" s="8" t="s">
        <v>523</v>
      </c>
      <c r="C189" s="35" t="s">
        <v>319</v>
      </c>
      <c r="D189" s="36" t="s">
        <v>517</v>
      </c>
      <c r="E189" s="37" t="s">
        <v>779</v>
      </c>
      <c r="F189" s="35" t="s">
        <v>322</v>
      </c>
      <c r="G189" s="7"/>
      <c r="H189" s="7"/>
      <c r="I189" s="12"/>
    </row>
    <row r="190" spans="1:9" ht="25.5" x14ac:dyDescent="0.2">
      <c r="A190" s="35" t="str">
        <f>HYPERLINK("https://mississippidhs.jamacloud.com/perspective.req?projectId=53&amp;docId=28117","LSRP-SHRQ-189")</f>
        <v>LSRP-SHRQ-189</v>
      </c>
      <c r="B190" s="8" t="s">
        <v>524</v>
      </c>
      <c r="C190" s="35" t="s">
        <v>319</v>
      </c>
      <c r="D190" s="36" t="s">
        <v>517</v>
      </c>
      <c r="E190" s="37" t="s">
        <v>779</v>
      </c>
      <c r="F190" s="35" t="s">
        <v>322</v>
      </c>
      <c r="G190" s="7"/>
      <c r="H190" s="7"/>
      <c r="I190" s="12"/>
    </row>
    <row r="191" spans="1:9" ht="38.25" x14ac:dyDescent="0.2">
      <c r="A191" s="35" t="str">
        <f>HYPERLINK("https://mississippidhs.jamacloud.com/perspective.req?projectId=53&amp;docId=28118","LSRP-SHRQ-190")</f>
        <v>LSRP-SHRQ-190</v>
      </c>
      <c r="B191" s="8" t="s">
        <v>525</v>
      </c>
      <c r="C191" s="35" t="s">
        <v>319</v>
      </c>
      <c r="D191" s="36" t="s">
        <v>517</v>
      </c>
      <c r="E191" s="37" t="s">
        <v>779</v>
      </c>
      <c r="F191" s="35" t="s">
        <v>322</v>
      </c>
      <c r="G191" s="7"/>
      <c r="H191" s="7"/>
      <c r="I191" s="12"/>
    </row>
    <row r="192" spans="1:9" ht="14.25" x14ac:dyDescent="0.2">
      <c r="A192" s="35" t="str">
        <f>HYPERLINK("https://mississippidhs.jamacloud.com/perspective.req?projectId=53&amp;docId=28119","LSRP-SHRQ-191")</f>
        <v>LSRP-SHRQ-191</v>
      </c>
      <c r="B192" s="8" t="s">
        <v>526</v>
      </c>
      <c r="C192" s="35" t="s">
        <v>319</v>
      </c>
      <c r="D192" s="36" t="s">
        <v>517</v>
      </c>
      <c r="E192" s="37" t="s">
        <v>779</v>
      </c>
      <c r="F192" s="35" t="s">
        <v>322</v>
      </c>
      <c r="G192" s="7"/>
      <c r="H192" s="7"/>
      <c r="I192" s="12"/>
    </row>
    <row r="193" spans="1:9" ht="38.25" x14ac:dyDescent="0.2">
      <c r="A193" s="35" t="str">
        <f>HYPERLINK("https://mississippidhs.jamacloud.com/perspective.req?projectId=53&amp;docId=28120","LSRP-SHRQ-192")</f>
        <v>LSRP-SHRQ-192</v>
      </c>
      <c r="B193" s="8" t="s">
        <v>527</v>
      </c>
      <c r="C193" s="35" t="s">
        <v>319</v>
      </c>
      <c r="D193" s="36" t="s">
        <v>517</v>
      </c>
      <c r="E193" s="37" t="s">
        <v>779</v>
      </c>
      <c r="F193" s="35" t="s">
        <v>322</v>
      </c>
      <c r="G193" s="7"/>
      <c r="H193" s="7"/>
      <c r="I193" s="12"/>
    </row>
    <row r="194" spans="1:9" ht="25.5" x14ac:dyDescent="0.2">
      <c r="A194" s="35" t="str">
        <f>HYPERLINK("https://mississippidhs.jamacloud.com/perspective.req?projectId=53&amp;docId=28121","LSRP-SHRQ-193")</f>
        <v>LSRP-SHRQ-193</v>
      </c>
      <c r="B194" s="8" t="s">
        <v>528</v>
      </c>
      <c r="C194" s="35" t="s">
        <v>319</v>
      </c>
      <c r="D194" s="36" t="s">
        <v>517</v>
      </c>
      <c r="E194" s="37" t="s">
        <v>779</v>
      </c>
      <c r="F194" s="35" t="s">
        <v>322</v>
      </c>
      <c r="G194" s="7"/>
      <c r="H194" s="7"/>
      <c r="I194" s="12"/>
    </row>
    <row r="195" spans="1:9" ht="25.5" x14ac:dyDescent="0.2">
      <c r="A195" s="35" t="str">
        <f>HYPERLINK("https://mississippidhs.jamacloud.com/perspective.req?projectId=53&amp;docId=28122","LSRP-SHRQ-194")</f>
        <v>LSRP-SHRQ-194</v>
      </c>
      <c r="B195" s="8" t="s">
        <v>529</v>
      </c>
      <c r="C195" s="35" t="s">
        <v>319</v>
      </c>
      <c r="D195" s="36" t="s">
        <v>517</v>
      </c>
      <c r="E195" s="37" t="s">
        <v>779</v>
      </c>
      <c r="F195" s="35" t="s">
        <v>322</v>
      </c>
      <c r="G195" s="7"/>
      <c r="H195" s="7"/>
      <c r="I195" s="12"/>
    </row>
    <row r="196" spans="1:9" ht="38.25" x14ac:dyDescent="0.2">
      <c r="A196" s="35" t="str">
        <f>HYPERLINK("https://mississippidhs.jamacloud.com/perspective.req?projectId=53&amp;docId=28123","LSRP-SHRQ-195")</f>
        <v>LSRP-SHRQ-195</v>
      </c>
      <c r="B196" s="8" t="s">
        <v>530</v>
      </c>
      <c r="C196" s="35" t="s">
        <v>319</v>
      </c>
      <c r="D196" s="36" t="s">
        <v>517</v>
      </c>
      <c r="E196" s="37" t="s">
        <v>779</v>
      </c>
      <c r="F196" s="35" t="s">
        <v>322</v>
      </c>
      <c r="G196" s="7"/>
      <c r="H196" s="7"/>
      <c r="I196" s="12"/>
    </row>
    <row r="197" spans="1:9" ht="38.25" x14ac:dyDescent="0.2">
      <c r="A197" s="35" t="str">
        <f>HYPERLINK("https://mississippidhs.jamacloud.com/perspective.req?projectId=53&amp;docId=28124","LSRP-SHRQ-196")</f>
        <v>LSRP-SHRQ-196</v>
      </c>
      <c r="B197" s="8" t="s">
        <v>531</v>
      </c>
      <c r="C197" s="35" t="s">
        <v>319</v>
      </c>
      <c r="D197" s="36" t="s">
        <v>517</v>
      </c>
      <c r="E197" s="37" t="s">
        <v>779</v>
      </c>
      <c r="F197" s="35" t="s">
        <v>322</v>
      </c>
      <c r="G197" s="7"/>
      <c r="H197" s="7"/>
      <c r="I197" s="12"/>
    </row>
    <row r="198" spans="1:9" ht="38.25" x14ac:dyDescent="0.2">
      <c r="A198" s="35" t="str">
        <f>HYPERLINK("https://mississippidhs.jamacloud.com/perspective.req?projectId=53&amp;docId=28125","LSRP-SHRQ-197")</f>
        <v>LSRP-SHRQ-197</v>
      </c>
      <c r="B198" s="8" t="s">
        <v>532</v>
      </c>
      <c r="C198" s="35" t="s">
        <v>319</v>
      </c>
      <c r="D198" s="36" t="s">
        <v>517</v>
      </c>
      <c r="E198" s="37" t="s">
        <v>779</v>
      </c>
      <c r="F198" s="35" t="s">
        <v>322</v>
      </c>
      <c r="G198" s="7"/>
      <c r="H198" s="7"/>
      <c r="I198" s="12"/>
    </row>
    <row r="199" spans="1:9" ht="25.5" x14ac:dyDescent="0.2">
      <c r="A199" s="35" t="str">
        <f>HYPERLINK("https://mississippidhs.jamacloud.com/perspective.req?projectId=53&amp;docId=28126","LSRP-SHRQ-198")</f>
        <v>LSRP-SHRQ-198</v>
      </c>
      <c r="B199" s="8" t="s">
        <v>533</v>
      </c>
      <c r="C199" s="35" t="s">
        <v>319</v>
      </c>
      <c r="D199" s="36" t="s">
        <v>517</v>
      </c>
      <c r="E199" s="37" t="s">
        <v>779</v>
      </c>
      <c r="F199" s="35" t="s">
        <v>322</v>
      </c>
      <c r="G199" s="7"/>
      <c r="H199" s="7"/>
      <c r="I199" s="12"/>
    </row>
    <row r="200" spans="1:9" ht="38.25" x14ac:dyDescent="0.2">
      <c r="A200" s="35" t="str">
        <f>HYPERLINK("https://mississippidhs.jamacloud.com/perspective.req?projectId=53&amp;docId=28127","LSRP-SHRQ-199")</f>
        <v>LSRP-SHRQ-199</v>
      </c>
      <c r="B200" s="8" t="s">
        <v>534</v>
      </c>
      <c r="C200" s="35" t="s">
        <v>319</v>
      </c>
      <c r="D200" s="36" t="s">
        <v>517</v>
      </c>
      <c r="E200" s="37" t="s">
        <v>779</v>
      </c>
      <c r="F200" s="35" t="s">
        <v>322</v>
      </c>
      <c r="G200" s="7"/>
      <c r="H200" s="7"/>
      <c r="I200" s="12"/>
    </row>
    <row r="201" spans="1:9" ht="51" x14ac:dyDescent="0.2">
      <c r="A201" s="35" t="str">
        <f>HYPERLINK("https://mississippidhs.jamacloud.com/perspective.req?projectId=53&amp;docId=28128","LSRP-SHRQ-200")</f>
        <v>LSRP-SHRQ-200</v>
      </c>
      <c r="B201" s="8" t="s">
        <v>535</v>
      </c>
      <c r="C201" s="35" t="s">
        <v>319</v>
      </c>
      <c r="D201" s="36" t="s">
        <v>517</v>
      </c>
      <c r="E201" s="37" t="s">
        <v>779</v>
      </c>
      <c r="F201" s="35" t="s">
        <v>322</v>
      </c>
      <c r="G201" s="7"/>
      <c r="H201" s="7"/>
      <c r="I201" s="12"/>
    </row>
    <row r="202" spans="1:9" ht="38.25" x14ac:dyDescent="0.2">
      <c r="A202" s="35" t="str">
        <f>HYPERLINK("https://mississippidhs.jamacloud.com/perspective.req?projectId=53&amp;docId=28129","LSRP-SHRQ-201")</f>
        <v>LSRP-SHRQ-201</v>
      </c>
      <c r="B202" s="8" t="s">
        <v>536</v>
      </c>
      <c r="C202" s="35" t="s">
        <v>319</v>
      </c>
      <c r="D202" s="36" t="s">
        <v>517</v>
      </c>
      <c r="E202" s="37" t="s">
        <v>779</v>
      </c>
      <c r="F202" s="35" t="s">
        <v>322</v>
      </c>
      <c r="G202" s="7"/>
      <c r="H202" s="7"/>
      <c r="I202" s="12"/>
    </row>
    <row r="203" spans="1:9" ht="25.5" x14ac:dyDescent="0.2">
      <c r="A203" s="35" t="str">
        <f>HYPERLINK("https://mississippidhs.jamacloud.com/perspective.req?projectId=53&amp;docId=28130","LSRP-SHRQ-202")</f>
        <v>LSRP-SHRQ-202</v>
      </c>
      <c r="B203" s="8" t="s">
        <v>537</v>
      </c>
      <c r="C203" s="35" t="s">
        <v>319</v>
      </c>
      <c r="D203" s="36" t="s">
        <v>517</v>
      </c>
      <c r="E203" s="37" t="s">
        <v>779</v>
      </c>
      <c r="F203" s="35" t="s">
        <v>322</v>
      </c>
      <c r="G203" s="7"/>
      <c r="H203" s="7"/>
      <c r="I203" s="12"/>
    </row>
    <row r="204" spans="1:9" ht="38.25" x14ac:dyDescent="0.2">
      <c r="A204" s="35" t="str">
        <f>HYPERLINK("https://mississippidhs.jamacloud.com/perspective.req?projectId=53&amp;docId=28131","LSRP-SHRQ-203")</f>
        <v>LSRP-SHRQ-203</v>
      </c>
      <c r="B204" s="8" t="s">
        <v>538</v>
      </c>
      <c r="C204" s="35" t="s">
        <v>319</v>
      </c>
      <c r="D204" s="36" t="s">
        <v>517</v>
      </c>
      <c r="E204" s="37" t="s">
        <v>779</v>
      </c>
      <c r="F204" s="35" t="s">
        <v>322</v>
      </c>
      <c r="G204" s="7"/>
      <c r="H204" s="7"/>
      <c r="I204" s="12"/>
    </row>
    <row r="205" spans="1:9" ht="89.25" x14ac:dyDescent="0.2">
      <c r="A205" s="35" t="str">
        <f>HYPERLINK("https://mississippidhs.jamacloud.com/perspective.req?projectId=53&amp;docId=28132","LSRP-SHRQ-204")</f>
        <v>LSRP-SHRQ-204</v>
      </c>
      <c r="B205" s="8" t="s">
        <v>539</v>
      </c>
      <c r="C205" s="35" t="s">
        <v>319</v>
      </c>
      <c r="D205" s="36" t="s">
        <v>517</v>
      </c>
      <c r="E205" s="37" t="s">
        <v>779</v>
      </c>
      <c r="F205" s="35" t="s">
        <v>322</v>
      </c>
      <c r="G205" s="7"/>
      <c r="H205" s="7"/>
      <c r="I205" s="12"/>
    </row>
    <row r="206" spans="1:9" ht="25.5" x14ac:dyDescent="0.2">
      <c r="A206" s="35" t="str">
        <f>HYPERLINK("https://mississippidhs.jamacloud.com/perspective.req?projectId=53&amp;docId=28133","LSRP-SHRQ-205")</f>
        <v>LSRP-SHRQ-205</v>
      </c>
      <c r="B206" s="8" t="s">
        <v>540</v>
      </c>
      <c r="C206" s="35" t="s">
        <v>319</v>
      </c>
      <c r="D206" s="36" t="s">
        <v>517</v>
      </c>
      <c r="E206" s="37" t="s">
        <v>779</v>
      </c>
      <c r="F206" s="35" t="s">
        <v>322</v>
      </c>
      <c r="G206" s="7"/>
      <c r="H206" s="7"/>
      <c r="I206" s="12"/>
    </row>
    <row r="207" spans="1:9" ht="38.25" x14ac:dyDescent="0.2">
      <c r="A207" s="35" t="str">
        <f>HYPERLINK("https://mississippidhs.jamacloud.com/perspective.req?projectId=53&amp;docId=28134","LSRP-SHRQ-206")</f>
        <v>LSRP-SHRQ-206</v>
      </c>
      <c r="B207" s="8" t="s">
        <v>541</v>
      </c>
      <c r="C207" s="35" t="s">
        <v>319</v>
      </c>
      <c r="D207" s="36" t="s">
        <v>517</v>
      </c>
      <c r="E207" s="37" t="s">
        <v>779</v>
      </c>
      <c r="F207" s="35" t="s">
        <v>322</v>
      </c>
      <c r="G207" s="7"/>
      <c r="H207" s="7"/>
      <c r="I207" s="12"/>
    </row>
    <row r="208" spans="1:9" ht="25.5" x14ac:dyDescent="0.2">
      <c r="A208" s="35" t="str">
        <f>HYPERLINK("https://mississippidhs.jamacloud.com/perspective.req?projectId=53&amp;docId=29735","LSRP-SHRQ-1790")</f>
        <v>LSRP-SHRQ-1790</v>
      </c>
      <c r="B208" s="8" t="s">
        <v>542</v>
      </c>
      <c r="C208" s="35" t="s">
        <v>319</v>
      </c>
      <c r="D208" s="36" t="s">
        <v>517</v>
      </c>
      <c r="E208" s="37" t="s">
        <v>779</v>
      </c>
      <c r="F208" s="35" t="s">
        <v>390</v>
      </c>
      <c r="G208" s="7"/>
      <c r="H208" s="7"/>
      <c r="I208" s="12"/>
    </row>
    <row r="209" spans="1:9" ht="38.25" x14ac:dyDescent="0.2">
      <c r="A209" s="35" t="str">
        <f>HYPERLINK("https://mississippidhs.jamacloud.com/perspective.req?projectId=53&amp;docId=29736","LSRP-SHRQ-1791")</f>
        <v>LSRP-SHRQ-1791</v>
      </c>
      <c r="B209" s="8" t="s">
        <v>543</v>
      </c>
      <c r="C209" s="35" t="s">
        <v>319</v>
      </c>
      <c r="D209" s="36" t="s">
        <v>517</v>
      </c>
      <c r="E209" s="37" t="s">
        <v>779</v>
      </c>
      <c r="F209" s="35" t="s">
        <v>390</v>
      </c>
      <c r="G209" s="7"/>
      <c r="H209" s="7"/>
      <c r="I209" s="12"/>
    </row>
    <row r="210" spans="1:9" ht="25.5" x14ac:dyDescent="0.2">
      <c r="A210" s="35" t="str">
        <f>HYPERLINK("https://mississippidhs.jamacloud.com/perspective.req?projectId=53&amp;docId=28136","LSRP-SHRQ-207")</f>
        <v>LSRP-SHRQ-207</v>
      </c>
      <c r="B210" s="8" t="s">
        <v>544</v>
      </c>
      <c r="C210" s="35" t="s">
        <v>401</v>
      </c>
      <c r="D210" s="36" t="s">
        <v>35</v>
      </c>
      <c r="E210" s="37" t="s">
        <v>779</v>
      </c>
      <c r="F210" s="35" t="s">
        <v>545</v>
      </c>
      <c r="G210" s="7"/>
      <c r="H210" s="7"/>
      <c r="I210" s="12"/>
    </row>
    <row r="211" spans="1:9" ht="38.25" x14ac:dyDescent="0.2">
      <c r="A211" s="35" t="str">
        <f>HYPERLINK("https://mississippidhs.jamacloud.com/perspective.req?projectId=53&amp;docId=28137","LSRP-SHRQ-208")</f>
        <v>LSRP-SHRQ-208</v>
      </c>
      <c r="B211" s="8" t="s">
        <v>546</v>
      </c>
      <c r="C211" s="35" t="s">
        <v>401</v>
      </c>
      <c r="D211" s="36" t="s">
        <v>35</v>
      </c>
      <c r="E211" s="37" t="s">
        <v>779</v>
      </c>
      <c r="F211" s="35" t="s">
        <v>545</v>
      </c>
      <c r="G211" s="7"/>
      <c r="H211" s="7"/>
      <c r="I211" s="12"/>
    </row>
    <row r="212" spans="1:9" ht="25.5" x14ac:dyDescent="0.2">
      <c r="A212" s="35" t="str">
        <f>HYPERLINK("https://mississippidhs.jamacloud.com/perspective.req?projectId=53&amp;docId=28138","LSRP-SHRQ-209")</f>
        <v>LSRP-SHRQ-209</v>
      </c>
      <c r="B212" s="8" t="s">
        <v>547</v>
      </c>
      <c r="C212" s="35" t="s">
        <v>401</v>
      </c>
      <c r="D212" s="36" t="s">
        <v>35</v>
      </c>
      <c r="E212" s="37" t="s">
        <v>779</v>
      </c>
      <c r="F212" s="35" t="s">
        <v>545</v>
      </c>
      <c r="G212" s="7"/>
      <c r="H212" s="7"/>
      <c r="I212" s="12"/>
    </row>
    <row r="213" spans="1:9" ht="25.5" x14ac:dyDescent="0.2">
      <c r="A213" s="35" t="str">
        <f>HYPERLINK("https://mississippidhs.jamacloud.com/perspective.req?projectId=53&amp;docId=28139","LSRP-SHRQ-210")</f>
        <v>LSRP-SHRQ-210</v>
      </c>
      <c r="B213" s="8" t="s">
        <v>548</v>
      </c>
      <c r="C213" s="35" t="s">
        <v>401</v>
      </c>
      <c r="D213" s="36" t="s">
        <v>35</v>
      </c>
      <c r="E213" s="37" t="s">
        <v>779</v>
      </c>
      <c r="F213" s="35" t="s">
        <v>545</v>
      </c>
      <c r="G213" s="7"/>
      <c r="H213" s="7"/>
      <c r="I213" s="12"/>
    </row>
    <row r="214" spans="1:9" ht="25.5" x14ac:dyDescent="0.2">
      <c r="A214" s="35" t="str">
        <f>HYPERLINK("https://mississippidhs.jamacloud.com/perspective.req?projectId=53&amp;docId=28140","LSRP-SHRQ-211")</f>
        <v>LSRP-SHRQ-211</v>
      </c>
      <c r="B214" s="8" t="s">
        <v>549</v>
      </c>
      <c r="C214" s="35" t="s">
        <v>401</v>
      </c>
      <c r="D214" s="36" t="s">
        <v>35</v>
      </c>
      <c r="E214" s="37" t="s">
        <v>779</v>
      </c>
      <c r="F214" s="35" t="s">
        <v>550</v>
      </c>
      <c r="G214" s="7"/>
      <c r="H214" s="7"/>
      <c r="I214" s="12"/>
    </row>
    <row r="215" spans="1:9" ht="25.5" x14ac:dyDescent="0.2">
      <c r="A215" s="35" t="str">
        <f>HYPERLINK("https://mississippidhs.jamacloud.com/perspective.req?projectId=53&amp;docId=28141","LSRP-SHRQ-212")</f>
        <v>LSRP-SHRQ-212</v>
      </c>
      <c r="B215" s="8" t="s">
        <v>551</v>
      </c>
      <c r="C215" s="35" t="s">
        <v>401</v>
      </c>
      <c r="D215" s="36" t="s">
        <v>35</v>
      </c>
      <c r="E215" s="37" t="s">
        <v>779</v>
      </c>
      <c r="F215" s="35" t="s">
        <v>545</v>
      </c>
      <c r="G215" s="7"/>
      <c r="H215" s="7"/>
      <c r="I215" s="12"/>
    </row>
    <row r="216" spans="1:9" ht="25.5" x14ac:dyDescent="0.2">
      <c r="A216" s="35" t="str">
        <f>HYPERLINK("https://mississippidhs.jamacloud.com/perspective.req?projectId=53&amp;docId=28142","LSRP-SHRQ-213")</f>
        <v>LSRP-SHRQ-213</v>
      </c>
      <c r="B216" s="8" t="s">
        <v>552</v>
      </c>
      <c r="C216" s="35" t="s">
        <v>401</v>
      </c>
      <c r="D216" s="36" t="s">
        <v>35</v>
      </c>
      <c r="E216" s="37" t="s">
        <v>779</v>
      </c>
      <c r="F216" s="35" t="s">
        <v>425</v>
      </c>
      <c r="G216" s="7"/>
      <c r="H216" s="7"/>
      <c r="I216" s="12"/>
    </row>
    <row r="217" spans="1:9" ht="25.5" x14ac:dyDescent="0.2">
      <c r="A217" s="35" t="str">
        <f>HYPERLINK("https://mississippidhs.jamacloud.com/perspective.req?projectId=53&amp;docId=28143","LSRP-SHRQ-214")</f>
        <v>LSRP-SHRQ-214</v>
      </c>
      <c r="B217" s="8" t="s">
        <v>553</v>
      </c>
      <c r="C217" s="35" t="s">
        <v>401</v>
      </c>
      <c r="D217" s="36" t="s">
        <v>35</v>
      </c>
      <c r="E217" s="37" t="s">
        <v>779</v>
      </c>
      <c r="F217" s="35" t="s">
        <v>554</v>
      </c>
      <c r="G217" s="7"/>
      <c r="H217" s="7"/>
      <c r="I217" s="12"/>
    </row>
    <row r="218" spans="1:9" ht="38.25" x14ac:dyDescent="0.2">
      <c r="A218" s="35" t="str">
        <f>HYPERLINK("https://mississippidhs.jamacloud.com/perspective.req?projectId=53&amp;docId=28144","LSRP-SHRQ-215")</f>
        <v>LSRP-SHRQ-215</v>
      </c>
      <c r="B218" s="8" t="s">
        <v>555</v>
      </c>
      <c r="C218" s="35" t="s">
        <v>401</v>
      </c>
      <c r="D218" s="36" t="s">
        <v>35</v>
      </c>
      <c r="E218" s="37" t="s">
        <v>779</v>
      </c>
      <c r="F218" s="35" t="s">
        <v>554</v>
      </c>
      <c r="G218" s="7"/>
      <c r="H218" s="7"/>
      <c r="I218" s="12"/>
    </row>
    <row r="219" spans="1:9" ht="38.25" x14ac:dyDescent="0.2">
      <c r="A219" s="35" t="str">
        <f>HYPERLINK("https://mississippidhs.jamacloud.com/perspective.req?projectId=53&amp;docId=28145","LSRP-SHRQ-216")</f>
        <v>LSRP-SHRQ-216</v>
      </c>
      <c r="B219" s="8" t="s">
        <v>556</v>
      </c>
      <c r="C219" s="35" t="s">
        <v>401</v>
      </c>
      <c r="D219" s="36" t="s">
        <v>35</v>
      </c>
      <c r="E219" s="37" t="s">
        <v>779</v>
      </c>
      <c r="F219" s="35" t="s">
        <v>425</v>
      </c>
      <c r="G219" s="7"/>
      <c r="H219" s="7"/>
      <c r="I219" s="12"/>
    </row>
    <row r="220" spans="1:9" ht="25.5" x14ac:dyDescent="0.2">
      <c r="A220" s="35" t="str">
        <f>HYPERLINK("https://mississippidhs.jamacloud.com/perspective.req?projectId=53&amp;docId=28146","LSRP-SHRQ-217")</f>
        <v>LSRP-SHRQ-217</v>
      </c>
      <c r="B220" s="8" t="s">
        <v>557</v>
      </c>
      <c r="C220" s="35" t="s">
        <v>401</v>
      </c>
      <c r="D220" s="36" t="s">
        <v>35</v>
      </c>
      <c r="E220" s="37" t="s">
        <v>779</v>
      </c>
      <c r="F220" s="35" t="s">
        <v>425</v>
      </c>
      <c r="G220" s="7"/>
      <c r="H220" s="7"/>
      <c r="I220" s="12"/>
    </row>
    <row r="221" spans="1:9" ht="25.5" x14ac:dyDescent="0.2">
      <c r="A221" s="35" t="str">
        <f>HYPERLINK("https://mississippidhs.jamacloud.com/perspective.req?projectId=53&amp;docId=28147","LSRP-SHRQ-218")</f>
        <v>LSRP-SHRQ-218</v>
      </c>
      <c r="B221" s="8" t="s">
        <v>558</v>
      </c>
      <c r="C221" s="35" t="s">
        <v>401</v>
      </c>
      <c r="D221" s="36" t="s">
        <v>35</v>
      </c>
      <c r="E221" s="37" t="s">
        <v>779</v>
      </c>
      <c r="F221" s="35" t="s">
        <v>545</v>
      </c>
      <c r="G221" s="7"/>
      <c r="H221" s="7"/>
      <c r="I221" s="12"/>
    </row>
    <row r="222" spans="1:9" ht="38.25" x14ac:dyDescent="0.2">
      <c r="A222" s="35" t="str">
        <f>HYPERLINK("https://mississippidhs.jamacloud.com/perspective.req?projectId=53&amp;docId=28148","LSRP-SHRQ-219")</f>
        <v>LSRP-SHRQ-219</v>
      </c>
      <c r="B222" s="8" t="s">
        <v>559</v>
      </c>
      <c r="C222" s="35" t="s">
        <v>401</v>
      </c>
      <c r="D222" s="36" t="s">
        <v>35</v>
      </c>
      <c r="E222" s="37" t="s">
        <v>779</v>
      </c>
      <c r="F222" s="35" t="s">
        <v>545</v>
      </c>
      <c r="G222" s="7"/>
      <c r="H222" s="7"/>
      <c r="I222" s="12"/>
    </row>
    <row r="223" spans="1:9" ht="25.5" x14ac:dyDescent="0.2">
      <c r="A223" s="35" t="str">
        <f>HYPERLINK("https://mississippidhs.jamacloud.com/perspective.req?projectId=53&amp;docId=28149","LSRP-SHRQ-220")</f>
        <v>LSRP-SHRQ-220</v>
      </c>
      <c r="B223" s="8" t="s">
        <v>560</v>
      </c>
      <c r="C223" s="35" t="s">
        <v>401</v>
      </c>
      <c r="D223" s="36" t="s">
        <v>35</v>
      </c>
      <c r="E223" s="37" t="s">
        <v>779</v>
      </c>
      <c r="F223" s="35" t="s">
        <v>545</v>
      </c>
      <c r="G223" s="7"/>
      <c r="H223" s="7"/>
      <c r="I223" s="12"/>
    </row>
    <row r="224" spans="1:9" ht="25.5" x14ac:dyDescent="0.2">
      <c r="A224" s="35" t="str">
        <f>HYPERLINK("https://mississippidhs.jamacloud.com/perspective.req?projectId=53&amp;docId=28150","LSRP-SHRQ-221")</f>
        <v>LSRP-SHRQ-221</v>
      </c>
      <c r="B224" s="8" t="s">
        <v>561</v>
      </c>
      <c r="C224" s="35" t="s">
        <v>401</v>
      </c>
      <c r="D224" s="36" t="s">
        <v>35</v>
      </c>
      <c r="E224" s="37" t="s">
        <v>779</v>
      </c>
      <c r="F224" s="35" t="s">
        <v>545</v>
      </c>
      <c r="G224" s="7"/>
      <c r="H224" s="7"/>
      <c r="I224" s="12"/>
    </row>
    <row r="225" spans="1:9" ht="25.5" x14ac:dyDescent="0.2">
      <c r="A225" s="35" t="str">
        <f>HYPERLINK("https://mississippidhs.jamacloud.com/perspective.req?projectId=53&amp;docId=28151","LSRP-SHRQ-222")</f>
        <v>LSRP-SHRQ-222</v>
      </c>
      <c r="B225" s="8" t="s">
        <v>562</v>
      </c>
      <c r="C225" s="35" t="s">
        <v>401</v>
      </c>
      <c r="D225" s="36" t="s">
        <v>35</v>
      </c>
      <c r="E225" s="37" t="s">
        <v>779</v>
      </c>
      <c r="F225" s="35" t="s">
        <v>425</v>
      </c>
      <c r="G225" s="7"/>
      <c r="H225" s="7"/>
      <c r="I225" s="12"/>
    </row>
    <row r="226" spans="1:9" ht="25.5" x14ac:dyDescent="0.2">
      <c r="A226" s="35" t="str">
        <f>HYPERLINK("https://mississippidhs.jamacloud.com/perspective.req?projectId=53&amp;docId=28152","LSRP-SHRQ-223")</f>
        <v>LSRP-SHRQ-223</v>
      </c>
      <c r="B226" s="8" t="s">
        <v>563</v>
      </c>
      <c r="C226" s="35" t="s">
        <v>401</v>
      </c>
      <c r="D226" s="36" t="s">
        <v>35</v>
      </c>
      <c r="E226" s="37" t="s">
        <v>779</v>
      </c>
      <c r="F226" s="35" t="s">
        <v>322</v>
      </c>
      <c r="G226" s="7"/>
      <c r="H226" s="7"/>
      <c r="I226" s="12"/>
    </row>
    <row r="227" spans="1:9" ht="25.5" x14ac:dyDescent="0.2">
      <c r="A227" s="35" t="str">
        <f>HYPERLINK("https://mississippidhs.jamacloud.com/perspective.req?projectId=53&amp;docId=28153","LSRP-SHRQ-224")</f>
        <v>LSRP-SHRQ-224</v>
      </c>
      <c r="B227" s="8" t="s">
        <v>564</v>
      </c>
      <c r="C227" s="35" t="s">
        <v>401</v>
      </c>
      <c r="D227" s="36" t="s">
        <v>35</v>
      </c>
      <c r="E227" s="37" t="s">
        <v>779</v>
      </c>
      <c r="F227" s="35" t="s">
        <v>425</v>
      </c>
      <c r="G227" s="7"/>
      <c r="H227" s="7"/>
      <c r="I227" s="12"/>
    </row>
    <row r="228" spans="1:9" ht="25.5" x14ac:dyDescent="0.2">
      <c r="A228" s="35" t="str">
        <f>HYPERLINK("https://mississippidhs.jamacloud.com/perspective.req?projectId=53&amp;docId=28154","LSRP-SHRQ-225")</f>
        <v>LSRP-SHRQ-225</v>
      </c>
      <c r="B228" s="8" t="s">
        <v>565</v>
      </c>
      <c r="C228" s="35" t="s">
        <v>401</v>
      </c>
      <c r="D228" s="36" t="s">
        <v>35</v>
      </c>
      <c r="E228" s="37" t="s">
        <v>779</v>
      </c>
      <c r="F228" s="35" t="s">
        <v>322</v>
      </c>
      <c r="G228" s="7"/>
      <c r="H228" s="7"/>
      <c r="I228" s="12"/>
    </row>
    <row r="229" spans="1:9" ht="25.5" x14ac:dyDescent="0.2">
      <c r="A229" s="35" t="str">
        <f>HYPERLINK("https://mississippidhs.jamacloud.com/perspective.req?projectId=53&amp;docId=28155","LSRP-SHRQ-226")</f>
        <v>LSRP-SHRQ-226</v>
      </c>
      <c r="B229" s="8" t="s">
        <v>566</v>
      </c>
      <c r="C229" s="35" t="s">
        <v>401</v>
      </c>
      <c r="D229" s="36" t="s">
        <v>35</v>
      </c>
      <c r="E229" s="37" t="s">
        <v>779</v>
      </c>
      <c r="F229" s="35" t="s">
        <v>554</v>
      </c>
      <c r="G229" s="7"/>
      <c r="H229" s="7"/>
      <c r="I229" s="12"/>
    </row>
    <row r="230" spans="1:9" ht="25.5" x14ac:dyDescent="0.2">
      <c r="A230" s="35" t="str">
        <f>HYPERLINK("https://mississippidhs.jamacloud.com/perspective.req?projectId=53&amp;docId=28156","LSRP-SHRQ-227")</f>
        <v>LSRP-SHRQ-227</v>
      </c>
      <c r="B230" s="8" t="s">
        <v>567</v>
      </c>
      <c r="C230" s="35" t="s">
        <v>401</v>
      </c>
      <c r="D230" s="36" t="s">
        <v>35</v>
      </c>
      <c r="E230" s="37" t="s">
        <v>779</v>
      </c>
      <c r="F230" s="35" t="s">
        <v>322</v>
      </c>
      <c r="G230" s="7"/>
      <c r="H230" s="7"/>
      <c r="I230" s="12"/>
    </row>
    <row r="231" spans="1:9" ht="38.25" x14ac:dyDescent="0.2">
      <c r="A231" s="35" t="str">
        <f>HYPERLINK("https://mississippidhs.jamacloud.com/perspective.req?projectId=53&amp;docId=28157","LSRP-SHRQ-228")</f>
        <v>LSRP-SHRQ-228</v>
      </c>
      <c r="B231" s="8" t="s">
        <v>568</v>
      </c>
      <c r="C231" s="35" t="s">
        <v>401</v>
      </c>
      <c r="D231" s="36" t="s">
        <v>35</v>
      </c>
      <c r="E231" s="37" t="s">
        <v>779</v>
      </c>
      <c r="F231" s="35" t="s">
        <v>322</v>
      </c>
      <c r="G231" s="7"/>
      <c r="H231" s="7"/>
      <c r="I231" s="12"/>
    </row>
    <row r="232" spans="1:9" ht="25.5" x14ac:dyDescent="0.2">
      <c r="A232" s="35" t="str">
        <f>HYPERLINK("https://mississippidhs.jamacloud.com/perspective.req?projectId=53&amp;docId=28158","LSRP-SHRQ-229")</f>
        <v>LSRP-SHRQ-229</v>
      </c>
      <c r="B232" s="8" t="s">
        <v>569</v>
      </c>
      <c r="C232" s="35" t="s">
        <v>401</v>
      </c>
      <c r="D232" s="36" t="s">
        <v>35</v>
      </c>
      <c r="E232" s="37" t="s">
        <v>779</v>
      </c>
      <c r="F232" s="35" t="s">
        <v>420</v>
      </c>
      <c r="G232" s="7"/>
      <c r="H232" s="7"/>
      <c r="I232" s="12"/>
    </row>
    <row r="233" spans="1:9" ht="25.5" x14ac:dyDescent="0.2">
      <c r="A233" s="35" t="str">
        <f>HYPERLINK("https://mississippidhs.jamacloud.com/perspective.req?projectId=53&amp;docId=28159","LSRP-SHRQ-230")</f>
        <v>LSRP-SHRQ-230</v>
      </c>
      <c r="B233" s="8" t="s">
        <v>570</v>
      </c>
      <c r="C233" s="35" t="s">
        <v>401</v>
      </c>
      <c r="D233" s="36" t="s">
        <v>35</v>
      </c>
      <c r="E233" s="37" t="s">
        <v>779</v>
      </c>
      <c r="F233" s="35" t="s">
        <v>420</v>
      </c>
      <c r="G233" s="7"/>
      <c r="H233" s="7"/>
      <c r="I233" s="12"/>
    </row>
    <row r="234" spans="1:9" ht="38.25" x14ac:dyDescent="0.2">
      <c r="A234" s="35" t="str">
        <f>HYPERLINK("https://mississippidhs.jamacloud.com/perspective.req?projectId=53&amp;docId=28160","LSRP-SHRQ-231")</f>
        <v>LSRP-SHRQ-231</v>
      </c>
      <c r="B234" s="8" t="s">
        <v>571</v>
      </c>
      <c r="C234" s="35" t="s">
        <v>401</v>
      </c>
      <c r="D234" s="36" t="s">
        <v>35</v>
      </c>
      <c r="E234" s="37" t="s">
        <v>779</v>
      </c>
      <c r="F234" s="35" t="s">
        <v>425</v>
      </c>
      <c r="G234" s="7"/>
      <c r="H234" s="7"/>
      <c r="I234" s="12"/>
    </row>
    <row r="235" spans="1:9" ht="25.5" x14ac:dyDescent="0.2">
      <c r="A235" s="35" t="str">
        <f>HYPERLINK("https://mississippidhs.jamacloud.com/perspective.req?projectId=53&amp;docId=28161","LSRP-SHRQ-232")</f>
        <v>LSRP-SHRQ-232</v>
      </c>
      <c r="B235" s="8" t="s">
        <v>572</v>
      </c>
      <c r="C235" s="35" t="s">
        <v>401</v>
      </c>
      <c r="D235" s="36" t="s">
        <v>35</v>
      </c>
      <c r="E235" s="37" t="s">
        <v>779</v>
      </c>
      <c r="F235" s="35" t="s">
        <v>573</v>
      </c>
      <c r="G235" s="7"/>
      <c r="H235" s="7"/>
      <c r="I235" s="12"/>
    </row>
    <row r="236" spans="1:9" ht="25.5" x14ac:dyDescent="0.2">
      <c r="A236" s="35" t="str">
        <f>HYPERLINK("https://mississippidhs.jamacloud.com/perspective.req?projectId=53&amp;docId=28162","LSRP-SHRQ-233")</f>
        <v>LSRP-SHRQ-233</v>
      </c>
      <c r="B236" s="8" t="s">
        <v>574</v>
      </c>
      <c r="C236" s="35" t="s">
        <v>401</v>
      </c>
      <c r="D236" s="36" t="s">
        <v>35</v>
      </c>
      <c r="E236" s="37" t="s">
        <v>779</v>
      </c>
      <c r="F236" s="35" t="s">
        <v>573</v>
      </c>
      <c r="G236" s="7"/>
      <c r="H236" s="7"/>
      <c r="I236" s="12"/>
    </row>
    <row r="237" spans="1:9" ht="25.5" x14ac:dyDescent="0.2">
      <c r="A237" s="35" t="str">
        <f>HYPERLINK("https://mississippidhs.jamacloud.com/perspective.req?projectId=53&amp;docId=28163","LSRP-SHRQ-234")</f>
        <v>LSRP-SHRQ-234</v>
      </c>
      <c r="B237" s="8" t="s">
        <v>575</v>
      </c>
      <c r="C237" s="35" t="s">
        <v>401</v>
      </c>
      <c r="D237" s="36" t="s">
        <v>35</v>
      </c>
      <c r="E237" s="37" t="s">
        <v>779</v>
      </c>
      <c r="F237" s="35" t="s">
        <v>105</v>
      </c>
      <c r="G237" s="7"/>
      <c r="H237" s="7"/>
      <c r="I237" s="12"/>
    </row>
    <row r="238" spans="1:9" ht="38.25" x14ac:dyDescent="0.2">
      <c r="A238" s="35" t="str">
        <f>HYPERLINK("https://mississippidhs.jamacloud.com/perspective.req?projectId=53&amp;docId=28164","LSRP-SHRQ-235")</f>
        <v>LSRP-SHRQ-235</v>
      </c>
      <c r="B238" s="8" t="s">
        <v>576</v>
      </c>
      <c r="C238" s="35" t="s">
        <v>401</v>
      </c>
      <c r="D238" s="36" t="s">
        <v>35</v>
      </c>
      <c r="E238" s="37" t="s">
        <v>779</v>
      </c>
      <c r="F238" s="35" t="s">
        <v>105</v>
      </c>
      <c r="G238" s="7"/>
      <c r="H238" s="7"/>
      <c r="I238" s="12"/>
    </row>
    <row r="239" spans="1:9" ht="38.25" x14ac:dyDescent="0.2">
      <c r="A239" s="35" t="str">
        <f>HYPERLINK("https://mississippidhs.jamacloud.com/perspective.req?projectId=53&amp;docId=28165","LSRP-SHRQ-236")</f>
        <v>LSRP-SHRQ-236</v>
      </c>
      <c r="B239" s="8" t="s">
        <v>577</v>
      </c>
      <c r="C239" s="35" t="s">
        <v>401</v>
      </c>
      <c r="D239" s="36" t="s">
        <v>35</v>
      </c>
      <c r="E239" s="37" t="s">
        <v>779</v>
      </c>
      <c r="F239" s="35" t="s">
        <v>578</v>
      </c>
      <c r="G239" s="7"/>
      <c r="H239" s="7"/>
      <c r="I239" s="12"/>
    </row>
    <row r="240" spans="1:9" ht="25.5" x14ac:dyDescent="0.2">
      <c r="A240" s="35" t="str">
        <f>HYPERLINK("https://mississippidhs.jamacloud.com/perspective.req?projectId=53&amp;docId=28166","LSRP-SHRQ-237")</f>
        <v>LSRP-SHRQ-237</v>
      </c>
      <c r="B240" s="8" t="s">
        <v>579</v>
      </c>
      <c r="C240" s="35" t="s">
        <v>401</v>
      </c>
      <c r="D240" s="36" t="s">
        <v>35</v>
      </c>
      <c r="E240" s="37" t="s">
        <v>779</v>
      </c>
      <c r="F240" s="35" t="s">
        <v>578</v>
      </c>
      <c r="G240" s="7"/>
      <c r="H240" s="7"/>
      <c r="I240" s="12"/>
    </row>
    <row r="241" spans="1:9" ht="25.5" x14ac:dyDescent="0.2">
      <c r="A241" s="35" t="str">
        <f>HYPERLINK("https://mississippidhs.jamacloud.com/perspective.req?projectId=53&amp;docId=28167","LSRP-SHRQ-238")</f>
        <v>LSRP-SHRQ-238</v>
      </c>
      <c r="B241" s="8" t="s">
        <v>580</v>
      </c>
      <c r="C241" s="35" t="s">
        <v>401</v>
      </c>
      <c r="D241" s="36" t="s">
        <v>35</v>
      </c>
      <c r="E241" s="37" t="s">
        <v>779</v>
      </c>
      <c r="F241" s="35" t="s">
        <v>578</v>
      </c>
      <c r="G241" s="7"/>
      <c r="H241" s="7"/>
      <c r="I241" s="12"/>
    </row>
    <row r="242" spans="1:9" ht="25.5" x14ac:dyDescent="0.2">
      <c r="A242" s="35" t="str">
        <f>HYPERLINK("https://mississippidhs.jamacloud.com/perspective.req?projectId=53&amp;docId=28168","LSRP-SHRQ-239")</f>
        <v>LSRP-SHRQ-239</v>
      </c>
      <c r="B242" s="8" t="s">
        <v>581</v>
      </c>
      <c r="C242" s="35" t="s">
        <v>401</v>
      </c>
      <c r="D242" s="36" t="s">
        <v>35</v>
      </c>
      <c r="E242" s="37" t="s">
        <v>779</v>
      </c>
      <c r="F242" s="35" t="s">
        <v>582</v>
      </c>
      <c r="G242" s="7"/>
      <c r="H242" s="7"/>
      <c r="I242" s="12"/>
    </row>
    <row r="243" spans="1:9" ht="25.5" x14ac:dyDescent="0.2">
      <c r="A243" s="35" t="str">
        <f>HYPERLINK("https://mississippidhs.jamacloud.com/perspective.req?projectId=53&amp;docId=28169","LSRP-SHRQ-240")</f>
        <v>LSRP-SHRQ-240</v>
      </c>
      <c r="B243" s="8" t="s">
        <v>583</v>
      </c>
      <c r="C243" s="35" t="s">
        <v>401</v>
      </c>
      <c r="D243" s="36" t="s">
        <v>35</v>
      </c>
      <c r="E243" s="37" t="s">
        <v>779</v>
      </c>
      <c r="F243" s="35" t="s">
        <v>582</v>
      </c>
      <c r="G243" s="7"/>
      <c r="H243" s="7"/>
      <c r="I243" s="12"/>
    </row>
    <row r="244" spans="1:9" ht="25.5" x14ac:dyDescent="0.2">
      <c r="A244" s="35" t="str">
        <f>HYPERLINK("https://mississippidhs.jamacloud.com/perspective.req?projectId=53&amp;docId=28170","LSRP-SHRQ-241")</f>
        <v>LSRP-SHRQ-241</v>
      </c>
      <c r="B244" s="8" t="s">
        <v>584</v>
      </c>
      <c r="C244" s="35" t="s">
        <v>401</v>
      </c>
      <c r="D244" s="36" t="s">
        <v>35</v>
      </c>
      <c r="E244" s="37" t="s">
        <v>779</v>
      </c>
      <c r="F244" s="35" t="s">
        <v>582</v>
      </c>
      <c r="G244" s="7"/>
      <c r="H244" s="7"/>
      <c r="I244" s="12"/>
    </row>
    <row r="245" spans="1:9" ht="25.5" x14ac:dyDescent="0.2">
      <c r="A245" s="35" t="str">
        <f>HYPERLINK("https://mississippidhs.jamacloud.com/perspective.req?projectId=53&amp;docId=28171","LSRP-SHRQ-242")</f>
        <v>LSRP-SHRQ-242</v>
      </c>
      <c r="B245" s="8" t="s">
        <v>585</v>
      </c>
      <c r="C245" s="35" t="s">
        <v>401</v>
      </c>
      <c r="D245" s="36" t="s">
        <v>35</v>
      </c>
      <c r="E245" s="37" t="s">
        <v>779</v>
      </c>
      <c r="F245" s="35" t="s">
        <v>582</v>
      </c>
      <c r="G245" s="7"/>
      <c r="H245" s="7"/>
      <c r="I245" s="12"/>
    </row>
    <row r="246" spans="1:9" ht="25.5" x14ac:dyDescent="0.2">
      <c r="A246" s="35" t="str">
        <f>HYPERLINK("https://mississippidhs.jamacloud.com/perspective.req?projectId=53&amp;docId=28172","LSRP-SHRQ-243")</f>
        <v>LSRP-SHRQ-243</v>
      </c>
      <c r="B246" s="8" t="s">
        <v>586</v>
      </c>
      <c r="C246" s="35" t="s">
        <v>401</v>
      </c>
      <c r="D246" s="36" t="s">
        <v>35</v>
      </c>
      <c r="E246" s="37" t="s">
        <v>779</v>
      </c>
      <c r="F246" s="35" t="s">
        <v>582</v>
      </c>
      <c r="G246" s="7"/>
      <c r="H246" s="7"/>
      <c r="I246" s="12"/>
    </row>
    <row r="247" spans="1:9" ht="25.5" x14ac:dyDescent="0.2">
      <c r="A247" s="35" t="str">
        <f>HYPERLINK("https://mississippidhs.jamacloud.com/perspective.req?projectId=53&amp;docId=28173","LSRP-SHRQ-244")</f>
        <v>LSRP-SHRQ-244</v>
      </c>
      <c r="B247" s="8" t="s">
        <v>587</v>
      </c>
      <c r="C247" s="35" t="s">
        <v>401</v>
      </c>
      <c r="D247" s="36" t="s">
        <v>35</v>
      </c>
      <c r="E247" s="37" t="s">
        <v>779</v>
      </c>
      <c r="F247" s="35" t="s">
        <v>582</v>
      </c>
      <c r="G247" s="7"/>
      <c r="H247" s="7"/>
      <c r="I247" s="12"/>
    </row>
    <row r="248" spans="1:9" ht="25.5" x14ac:dyDescent="0.2">
      <c r="A248" s="35" t="str">
        <f>HYPERLINK("https://mississippidhs.jamacloud.com/perspective.req?projectId=53&amp;docId=28174","LSRP-SHRQ-245")</f>
        <v>LSRP-SHRQ-245</v>
      </c>
      <c r="B248" s="8" t="s">
        <v>588</v>
      </c>
      <c r="C248" s="35" t="s">
        <v>401</v>
      </c>
      <c r="D248" s="36" t="s">
        <v>35</v>
      </c>
      <c r="E248" s="37" t="s">
        <v>779</v>
      </c>
      <c r="F248" s="35" t="s">
        <v>582</v>
      </c>
      <c r="G248" s="7"/>
      <c r="H248" s="7"/>
      <c r="I248" s="12"/>
    </row>
    <row r="249" spans="1:9" ht="38.25" x14ac:dyDescent="0.2">
      <c r="A249" s="35" t="str">
        <f>HYPERLINK("https://mississippidhs.jamacloud.com/perspective.req?projectId=53&amp;docId=28175","LSRP-SHRQ-246")</f>
        <v>LSRP-SHRQ-246</v>
      </c>
      <c r="B249" s="8" t="s">
        <v>589</v>
      </c>
      <c r="C249" s="35" t="s">
        <v>401</v>
      </c>
      <c r="D249" s="36" t="s">
        <v>35</v>
      </c>
      <c r="E249" s="37" t="s">
        <v>779</v>
      </c>
      <c r="F249" s="35" t="s">
        <v>590</v>
      </c>
      <c r="G249" s="7"/>
      <c r="H249" s="7"/>
      <c r="I249" s="12"/>
    </row>
    <row r="250" spans="1:9" ht="38.25" x14ac:dyDescent="0.2">
      <c r="A250" s="35" t="str">
        <f>HYPERLINK("https://mississippidhs.jamacloud.com/perspective.req?projectId=53&amp;docId=28176","LSRP-SHRQ-247")</f>
        <v>LSRP-SHRQ-247</v>
      </c>
      <c r="B250" s="8" t="s">
        <v>591</v>
      </c>
      <c r="C250" s="35" t="s">
        <v>401</v>
      </c>
      <c r="D250" s="36" t="s">
        <v>35</v>
      </c>
      <c r="E250" s="37" t="s">
        <v>779</v>
      </c>
      <c r="F250" s="35" t="s">
        <v>590</v>
      </c>
      <c r="G250" s="7"/>
      <c r="H250" s="7"/>
      <c r="I250" s="12"/>
    </row>
    <row r="251" spans="1:9" ht="25.5" x14ac:dyDescent="0.2">
      <c r="A251" s="35" t="str">
        <f>HYPERLINK("https://mississippidhs.jamacloud.com/perspective.req?projectId=53&amp;docId=28177","LSRP-SHRQ-248")</f>
        <v>LSRP-SHRQ-248</v>
      </c>
      <c r="B251" s="8" t="s">
        <v>592</v>
      </c>
      <c r="C251" s="35" t="s">
        <v>401</v>
      </c>
      <c r="D251" s="36" t="s">
        <v>35</v>
      </c>
      <c r="E251" s="37" t="s">
        <v>779</v>
      </c>
      <c r="F251" s="35" t="s">
        <v>452</v>
      </c>
      <c r="G251" s="7"/>
      <c r="H251" s="7"/>
      <c r="I251" s="12"/>
    </row>
    <row r="252" spans="1:9" ht="25.5" x14ac:dyDescent="0.2">
      <c r="A252" s="35" t="str">
        <f>HYPERLINK("https://mississippidhs.jamacloud.com/perspective.req?projectId=53&amp;docId=28178","LSRP-SHRQ-249")</f>
        <v>LSRP-SHRQ-249</v>
      </c>
      <c r="B252" s="8" t="s">
        <v>593</v>
      </c>
      <c r="C252" s="35" t="s">
        <v>401</v>
      </c>
      <c r="D252" s="36" t="s">
        <v>35</v>
      </c>
      <c r="E252" s="37" t="s">
        <v>779</v>
      </c>
      <c r="F252" s="35" t="s">
        <v>582</v>
      </c>
      <c r="G252" s="7"/>
      <c r="H252" s="7"/>
      <c r="I252" s="12"/>
    </row>
    <row r="253" spans="1:9" ht="25.5" x14ac:dyDescent="0.2">
      <c r="A253" s="35" t="str">
        <f>HYPERLINK("https://mississippidhs.jamacloud.com/perspective.req?projectId=53&amp;docId=28179","LSRP-SHRQ-250")</f>
        <v>LSRP-SHRQ-250</v>
      </c>
      <c r="B253" s="8" t="s">
        <v>594</v>
      </c>
      <c r="C253" s="35" t="s">
        <v>401</v>
      </c>
      <c r="D253" s="36" t="s">
        <v>35</v>
      </c>
      <c r="E253" s="37" t="s">
        <v>779</v>
      </c>
      <c r="F253" s="35" t="s">
        <v>582</v>
      </c>
      <c r="G253" s="7"/>
      <c r="H253" s="7"/>
      <c r="I253" s="12"/>
    </row>
    <row r="254" spans="1:9" ht="25.5" x14ac:dyDescent="0.2">
      <c r="A254" s="35" t="str">
        <f>HYPERLINK("https://mississippidhs.jamacloud.com/perspective.req?projectId=53&amp;docId=28180","LSRP-SHRQ-251")</f>
        <v>LSRP-SHRQ-251</v>
      </c>
      <c r="B254" s="8" t="s">
        <v>595</v>
      </c>
      <c r="C254" s="35" t="s">
        <v>401</v>
      </c>
      <c r="D254" s="36" t="s">
        <v>35</v>
      </c>
      <c r="E254" s="37" t="s">
        <v>779</v>
      </c>
      <c r="F254" s="35" t="s">
        <v>590</v>
      </c>
      <c r="G254" s="7"/>
      <c r="H254" s="7"/>
      <c r="I254" s="12"/>
    </row>
    <row r="255" spans="1:9" ht="25.5" x14ac:dyDescent="0.2">
      <c r="A255" s="35" t="str">
        <f>HYPERLINK("https://mississippidhs.jamacloud.com/perspective.req?projectId=53&amp;docId=28181","LSRP-SHRQ-252")</f>
        <v>LSRP-SHRQ-252</v>
      </c>
      <c r="B255" s="8" t="s">
        <v>596</v>
      </c>
      <c r="C255" s="35" t="s">
        <v>401</v>
      </c>
      <c r="D255" s="36" t="s">
        <v>35</v>
      </c>
      <c r="E255" s="37" t="s">
        <v>779</v>
      </c>
      <c r="F255" s="35" t="s">
        <v>452</v>
      </c>
      <c r="G255" s="7"/>
      <c r="H255" s="7"/>
      <c r="I255" s="12"/>
    </row>
    <row r="256" spans="1:9" ht="25.5" x14ac:dyDescent="0.2">
      <c r="A256" s="35" t="str">
        <f>HYPERLINK("https://mississippidhs.jamacloud.com/perspective.req?projectId=53&amp;docId=28182","LSRP-SHRQ-253")</f>
        <v>LSRP-SHRQ-253</v>
      </c>
      <c r="B256" s="8" t="s">
        <v>597</v>
      </c>
      <c r="C256" s="35" t="s">
        <v>401</v>
      </c>
      <c r="D256" s="36" t="s">
        <v>35</v>
      </c>
      <c r="E256" s="37" t="s">
        <v>779</v>
      </c>
      <c r="F256" s="35" t="s">
        <v>269</v>
      </c>
      <c r="G256" s="7"/>
      <c r="H256" s="7"/>
      <c r="I256" s="12"/>
    </row>
    <row r="257" spans="1:9" ht="25.5" x14ac:dyDescent="0.2">
      <c r="A257" s="35" t="str">
        <f>HYPERLINK("https://mississippidhs.jamacloud.com/perspective.req?projectId=53&amp;docId=28183","LSRP-SHRQ-254")</f>
        <v>LSRP-SHRQ-254</v>
      </c>
      <c r="B257" s="8" t="s">
        <v>598</v>
      </c>
      <c r="C257" s="35" t="s">
        <v>401</v>
      </c>
      <c r="D257" s="36" t="s">
        <v>35</v>
      </c>
      <c r="E257" s="37" t="s">
        <v>779</v>
      </c>
      <c r="F257" s="35" t="s">
        <v>269</v>
      </c>
      <c r="G257" s="7"/>
      <c r="H257" s="7"/>
      <c r="I257" s="12"/>
    </row>
    <row r="258" spans="1:9" ht="25.5" x14ac:dyDescent="0.2">
      <c r="A258" s="35" t="str">
        <f>HYPERLINK("https://mississippidhs.jamacloud.com/perspective.req?projectId=53&amp;docId=28184","LSRP-SHRQ-255")</f>
        <v>LSRP-SHRQ-255</v>
      </c>
      <c r="B258" s="8" t="s">
        <v>599</v>
      </c>
      <c r="C258" s="35" t="s">
        <v>401</v>
      </c>
      <c r="D258" s="36" t="s">
        <v>35</v>
      </c>
      <c r="E258" s="37" t="s">
        <v>779</v>
      </c>
      <c r="F258" s="35" t="s">
        <v>452</v>
      </c>
      <c r="G258" s="7"/>
      <c r="H258" s="7"/>
      <c r="I258" s="12"/>
    </row>
    <row r="259" spans="1:9" ht="25.5" x14ac:dyDescent="0.2">
      <c r="A259" s="35" t="str">
        <f>HYPERLINK("https://mississippidhs.jamacloud.com/perspective.req?projectId=53&amp;docId=28185","LSRP-SHRQ-256")</f>
        <v>LSRP-SHRQ-256</v>
      </c>
      <c r="B259" s="8" t="s">
        <v>600</v>
      </c>
      <c r="C259" s="35" t="s">
        <v>401</v>
      </c>
      <c r="D259" s="36" t="s">
        <v>35</v>
      </c>
      <c r="E259" s="37" t="s">
        <v>779</v>
      </c>
      <c r="F259" s="35" t="s">
        <v>269</v>
      </c>
      <c r="G259" s="7"/>
      <c r="H259" s="7"/>
      <c r="I259" s="12"/>
    </row>
    <row r="260" spans="1:9" ht="25.5" x14ac:dyDescent="0.2">
      <c r="A260" s="35" t="str">
        <f>HYPERLINK("https://mississippidhs.jamacloud.com/perspective.req?projectId=53&amp;docId=28186","LSRP-SHRQ-257")</f>
        <v>LSRP-SHRQ-257</v>
      </c>
      <c r="B260" s="8" t="s">
        <v>601</v>
      </c>
      <c r="C260" s="35" t="s">
        <v>401</v>
      </c>
      <c r="D260" s="36" t="s">
        <v>35</v>
      </c>
      <c r="E260" s="37" t="s">
        <v>779</v>
      </c>
      <c r="F260" s="35" t="s">
        <v>269</v>
      </c>
      <c r="G260" s="7"/>
      <c r="H260" s="7"/>
      <c r="I260" s="12"/>
    </row>
    <row r="261" spans="1:9" ht="25.5" x14ac:dyDescent="0.2">
      <c r="A261" s="35" t="str">
        <f>HYPERLINK("https://mississippidhs.jamacloud.com/perspective.req?projectId=53&amp;docId=28187","LSRP-SHRQ-258")</f>
        <v>LSRP-SHRQ-258</v>
      </c>
      <c r="B261" s="8" t="s">
        <v>602</v>
      </c>
      <c r="C261" s="35" t="s">
        <v>401</v>
      </c>
      <c r="D261" s="36" t="s">
        <v>35</v>
      </c>
      <c r="E261" s="37" t="s">
        <v>779</v>
      </c>
      <c r="F261" s="35" t="s">
        <v>269</v>
      </c>
      <c r="G261" s="7"/>
      <c r="H261" s="7"/>
      <c r="I261" s="12"/>
    </row>
    <row r="262" spans="1:9" ht="25.5" x14ac:dyDescent="0.2">
      <c r="A262" s="35" t="str">
        <f>HYPERLINK("https://mississippidhs.jamacloud.com/perspective.req?projectId=53&amp;docId=28188","LSRP-SHRQ-259")</f>
        <v>LSRP-SHRQ-259</v>
      </c>
      <c r="B262" s="8" t="s">
        <v>603</v>
      </c>
      <c r="C262" s="35" t="s">
        <v>401</v>
      </c>
      <c r="D262" s="36" t="s">
        <v>35</v>
      </c>
      <c r="E262" s="37" t="s">
        <v>779</v>
      </c>
      <c r="F262" s="35" t="s">
        <v>452</v>
      </c>
      <c r="G262" s="7"/>
      <c r="H262" s="7"/>
      <c r="I262" s="12"/>
    </row>
    <row r="263" spans="1:9" ht="25.5" x14ac:dyDescent="0.2">
      <c r="A263" s="35" t="str">
        <f>HYPERLINK("https://mississippidhs.jamacloud.com/perspective.req?projectId=53&amp;docId=28189","LSRP-SHRQ-260")</f>
        <v>LSRP-SHRQ-260</v>
      </c>
      <c r="B263" s="8" t="s">
        <v>604</v>
      </c>
      <c r="C263" s="35" t="s">
        <v>401</v>
      </c>
      <c r="D263" s="36" t="s">
        <v>35</v>
      </c>
      <c r="E263" s="37" t="s">
        <v>779</v>
      </c>
      <c r="F263" s="35" t="s">
        <v>452</v>
      </c>
      <c r="G263" s="7"/>
      <c r="H263" s="7"/>
      <c r="I263" s="12"/>
    </row>
    <row r="264" spans="1:9" ht="25.5" x14ac:dyDescent="0.2">
      <c r="A264" s="35" t="str">
        <f>HYPERLINK("https://mississippidhs.jamacloud.com/perspective.req?projectId=53&amp;docId=28190","LSRP-SHRQ-261")</f>
        <v>LSRP-SHRQ-261</v>
      </c>
      <c r="B264" s="8" t="s">
        <v>605</v>
      </c>
      <c r="C264" s="35" t="s">
        <v>401</v>
      </c>
      <c r="D264" s="36" t="s">
        <v>35</v>
      </c>
      <c r="E264" s="37" t="s">
        <v>779</v>
      </c>
      <c r="F264" s="35" t="s">
        <v>452</v>
      </c>
      <c r="G264" s="7"/>
      <c r="H264" s="7"/>
      <c r="I264" s="12"/>
    </row>
    <row r="265" spans="1:9" ht="25.5" x14ac:dyDescent="0.2">
      <c r="A265" s="35" t="str">
        <f>HYPERLINK("https://mississippidhs.jamacloud.com/perspective.req?projectId=53&amp;docId=28191","LSRP-SHRQ-262")</f>
        <v>LSRP-SHRQ-262</v>
      </c>
      <c r="B265" s="8" t="s">
        <v>606</v>
      </c>
      <c r="C265" s="35" t="s">
        <v>401</v>
      </c>
      <c r="D265" s="36" t="s">
        <v>35</v>
      </c>
      <c r="E265" s="37" t="s">
        <v>779</v>
      </c>
      <c r="F265" s="35" t="s">
        <v>452</v>
      </c>
      <c r="G265" s="7"/>
      <c r="H265" s="7"/>
      <c r="I265" s="12"/>
    </row>
    <row r="266" spans="1:9" ht="25.5" x14ac:dyDescent="0.2">
      <c r="A266" s="35" t="str">
        <f>HYPERLINK("https://mississippidhs.jamacloud.com/perspective.req?projectId=53&amp;docId=28192","LSRP-SHRQ-263")</f>
        <v>LSRP-SHRQ-263</v>
      </c>
      <c r="B266" s="8" t="s">
        <v>607</v>
      </c>
      <c r="C266" s="35" t="s">
        <v>401</v>
      </c>
      <c r="D266" s="36" t="s">
        <v>35</v>
      </c>
      <c r="E266" s="37" t="s">
        <v>779</v>
      </c>
      <c r="F266" s="35" t="s">
        <v>452</v>
      </c>
      <c r="G266" s="7"/>
      <c r="H266" s="7"/>
      <c r="I266" s="12"/>
    </row>
    <row r="267" spans="1:9" ht="25.5" x14ac:dyDescent="0.2">
      <c r="A267" s="35" t="str">
        <f>HYPERLINK("https://mississippidhs.jamacloud.com/perspective.req?projectId=53&amp;docId=28193","LSRP-SHRQ-264")</f>
        <v>LSRP-SHRQ-264</v>
      </c>
      <c r="B267" s="8" t="s">
        <v>608</v>
      </c>
      <c r="C267" s="35" t="s">
        <v>401</v>
      </c>
      <c r="D267" s="36" t="s">
        <v>35</v>
      </c>
      <c r="E267" s="37" t="s">
        <v>779</v>
      </c>
      <c r="F267" s="35" t="s">
        <v>269</v>
      </c>
      <c r="G267" s="7"/>
      <c r="H267" s="7"/>
      <c r="I267" s="12"/>
    </row>
    <row r="268" spans="1:9" ht="25.5" x14ac:dyDescent="0.2">
      <c r="A268" s="35" t="str">
        <f>HYPERLINK("https://mississippidhs.jamacloud.com/perspective.req?projectId=53&amp;docId=28194","LSRP-SHRQ-265")</f>
        <v>LSRP-SHRQ-265</v>
      </c>
      <c r="B268" s="8" t="s">
        <v>609</v>
      </c>
      <c r="C268" s="35" t="s">
        <v>401</v>
      </c>
      <c r="D268" s="36" t="s">
        <v>35</v>
      </c>
      <c r="E268" s="37" t="s">
        <v>779</v>
      </c>
      <c r="F268" s="35" t="s">
        <v>269</v>
      </c>
      <c r="G268" s="7"/>
      <c r="H268" s="7"/>
      <c r="I268" s="12"/>
    </row>
    <row r="269" spans="1:9" ht="25.5" x14ac:dyDescent="0.2">
      <c r="A269" s="35" t="str">
        <f>HYPERLINK("https://mississippidhs.jamacloud.com/perspective.req?projectId=53&amp;docId=28195","LSRP-SHRQ-266")</f>
        <v>LSRP-SHRQ-266</v>
      </c>
      <c r="B269" s="8" t="s">
        <v>610</v>
      </c>
      <c r="C269" s="35" t="s">
        <v>401</v>
      </c>
      <c r="D269" s="36" t="s">
        <v>35</v>
      </c>
      <c r="E269" s="37" t="s">
        <v>779</v>
      </c>
      <c r="F269" s="35" t="s">
        <v>573</v>
      </c>
      <c r="G269" s="7"/>
      <c r="H269" s="7"/>
      <c r="I269" s="12"/>
    </row>
    <row r="270" spans="1:9" ht="38.25" x14ac:dyDescent="0.2">
      <c r="A270" s="35" t="str">
        <f>HYPERLINK("https://mississippidhs.jamacloud.com/perspective.req?projectId=53&amp;docId=28196","LSRP-SHRQ-267")</f>
        <v>LSRP-SHRQ-267</v>
      </c>
      <c r="B270" s="8" t="s">
        <v>611</v>
      </c>
      <c r="C270" s="35" t="s">
        <v>401</v>
      </c>
      <c r="D270" s="36" t="s">
        <v>35</v>
      </c>
      <c r="E270" s="37" t="s">
        <v>779</v>
      </c>
      <c r="F270" s="35" t="s">
        <v>573</v>
      </c>
      <c r="G270" s="7"/>
      <c r="H270" s="7"/>
      <c r="I270" s="12"/>
    </row>
    <row r="271" spans="1:9" ht="38.25" x14ac:dyDescent="0.2">
      <c r="A271" s="35" t="str">
        <f>HYPERLINK("https://mississippidhs.jamacloud.com/perspective.req?projectId=53&amp;docId=28197","LSRP-SHRQ-268")</f>
        <v>LSRP-SHRQ-268</v>
      </c>
      <c r="B271" s="8" t="s">
        <v>612</v>
      </c>
      <c r="C271" s="35" t="s">
        <v>401</v>
      </c>
      <c r="D271" s="36" t="s">
        <v>35</v>
      </c>
      <c r="E271" s="37" t="s">
        <v>779</v>
      </c>
      <c r="F271" s="35" t="s">
        <v>269</v>
      </c>
      <c r="G271" s="7"/>
      <c r="H271" s="7"/>
      <c r="I271" s="12"/>
    </row>
    <row r="272" spans="1:9" ht="25.5" x14ac:dyDescent="0.2">
      <c r="A272" s="35" t="str">
        <f>HYPERLINK("https://mississippidhs.jamacloud.com/perspective.req?projectId=53&amp;docId=28198","LSRP-SHRQ-269")</f>
        <v>LSRP-SHRQ-269</v>
      </c>
      <c r="B272" s="8" t="s">
        <v>613</v>
      </c>
      <c r="C272" s="35" t="s">
        <v>401</v>
      </c>
      <c r="D272" s="36" t="s">
        <v>35</v>
      </c>
      <c r="E272" s="37" t="s">
        <v>779</v>
      </c>
      <c r="F272" s="35" t="s">
        <v>269</v>
      </c>
      <c r="G272" s="7"/>
      <c r="H272" s="7"/>
      <c r="I272" s="12"/>
    </row>
    <row r="273" spans="1:9" ht="25.5" x14ac:dyDescent="0.2">
      <c r="A273" s="35" t="str">
        <f>HYPERLINK("https://mississippidhs.jamacloud.com/perspective.req?projectId=53&amp;docId=28199","LSRP-SHRQ-270")</f>
        <v>LSRP-SHRQ-270</v>
      </c>
      <c r="B273" s="8" t="s">
        <v>614</v>
      </c>
      <c r="C273" s="35" t="s">
        <v>401</v>
      </c>
      <c r="D273" s="36" t="s">
        <v>35</v>
      </c>
      <c r="E273" s="37" t="s">
        <v>779</v>
      </c>
      <c r="F273" s="35" t="s">
        <v>452</v>
      </c>
      <c r="G273" s="7"/>
      <c r="H273" s="7"/>
      <c r="I273" s="12"/>
    </row>
    <row r="274" spans="1:9" ht="25.5" x14ac:dyDescent="0.2">
      <c r="A274" s="35" t="str">
        <f>HYPERLINK("https://mississippidhs.jamacloud.com/perspective.req?projectId=53&amp;docId=28200","LSRP-SHRQ-271")</f>
        <v>LSRP-SHRQ-271</v>
      </c>
      <c r="B274" s="8" t="s">
        <v>615</v>
      </c>
      <c r="C274" s="35" t="s">
        <v>401</v>
      </c>
      <c r="D274" s="36" t="s">
        <v>35</v>
      </c>
      <c r="E274" s="37" t="s">
        <v>779</v>
      </c>
      <c r="F274" s="35" t="s">
        <v>269</v>
      </c>
      <c r="G274" s="7"/>
      <c r="H274" s="7"/>
      <c r="I274" s="12"/>
    </row>
    <row r="275" spans="1:9" ht="25.5" x14ac:dyDescent="0.2">
      <c r="A275" s="35" t="str">
        <f>HYPERLINK("https://mississippidhs.jamacloud.com/perspective.req?projectId=53&amp;docId=28201","LSRP-SHRQ-272")</f>
        <v>LSRP-SHRQ-272</v>
      </c>
      <c r="B275" s="8" t="s">
        <v>616</v>
      </c>
      <c r="C275" s="35" t="s">
        <v>401</v>
      </c>
      <c r="D275" s="36" t="s">
        <v>35</v>
      </c>
      <c r="E275" s="37" t="s">
        <v>779</v>
      </c>
      <c r="F275" s="35" t="s">
        <v>269</v>
      </c>
      <c r="G275" s="7"/>
      <c r="H275" s="7"/>
      <c r="I275" s="12"/>
    </row>
    <row r="276" spans="1:9" ht="25.5" x14ac:dyDescent="0.2">
      <c r="A276" s="35" t="str">
        <f>HYPERLINK("https://mississippidhs.jamacloud.com/perspective.req?projectId=53&amp;docId=28202","LSRP-SHRQ-273")</f>
        <v>LSRP-SHRQ-273</v>
      </c>
      <c r="B276" s="8" t="s">
        <v>617</v>
      </c>
      <c r="C276" s="35" t="s">
        <v>401</v>
      </c>
      <c r="D276" s="36" t="s">
        <v>35</v>
      </c>
      <c r="E276" s="37" t="s">
        <v>779</v>
      </c>
      <c r="F276" s="35" t="s">
        <v>269</v>
      </c>
      <c r="G276" s="7"/>
      <c r="H276" s="7"/>
      <c r="I276" s="12"/>
    </row>
    <row r="277" spans="1:9" ht="25.5" x14ac:dyDescent="0.2">
      <c r="A277" s="35" t="str">
        <f>HYPERLINK("https://mississippidhs.jamacloud.com/perspective.req?projectId=53&amp;docId=28203","LSRP-SHRQ-274")</f>
        <v>LSRP-SHRQ-274</v>
      </c>
      <c r="B277" s="8" t="s">
        <v>618</v>
      </c>
      <c r="C277" s="35" t="s">
        <v>401</v>
      </c>
      <c r="D277" s="36" t="s">
        <v>35</v>
      </c>
      <c r="E277" s="37" t="s">
        <v>779</v>
      </c>
      <c r="F277" s="35" t="s">
        <v>269</v>
      </c>
      <c r="G277" s="7"/>
      <c r="H277" s="7"/>
      <c r="I277" s="12"/>
    </row>
    <row r="278" spans="1:9" ht="25.5" x14ac:dyDescent="0.2">
      <c r="A278" s="35" t="str">
        <f>HYPERLINK("https://mississippidhs.jamacloud.com/perspective.req?projectId=53&amp;docId=28204","LSRP-SHRQ-275")</f>
        <v>LSRP-SHRQ-275</v>
      </c>
      <c r="B278" s="8" t="s">
        <v>619</v>
      </c>
      <c r="C278" s="35" t="s">
        <v>401</v>
      </c>
      <c r="D278" s="36" t="s">
        <v>35</v>
      </c>
      <c r="E278" s="37" t="s">
        <v>779</v>
      </c>
      <c r="F278" s="35" t="s">
        <v>269</v>
      </c>
      <c r="G278" s="7"/>
      <c r="H278" s="7"/>
      <c r="I278" s="12"/>
    </row>
    <row r="279" spans="1:9" ht="25.5" x14ac:dyDescent="0.2">
      <c r="A279" s="35" t="str">
        <f>HYPERLINK("https://mississippidhs.jamacloud.com/perspective.req?projectId=53&amp;docId=28205","LSRP-SHRQ-276")</f>
        <v>LSRP-SHRQ-276</v>
      </c>
      <c r="B279" s="8" t="s">
        <v>620</v>
      </c>
      <c r="C279" s="35" t="s">
        <v>401</v>
      </c>
      <c r="D279" s="36" t="s">
        <v>35</v>
      </c>
      <c r="E279" s="37" t="s">
        <v>779</v>
      </c>
      <c r="F279" s="35" t="s">
        <v>269</v>
      </c>
      <c r="G279" s="7"/>
      <c r="H279" s="7"/>
      <c r="I279" s="12"/>
    </row>
    <row r="280" spans="1:9" ht="25.5" x14ac:dyDescent="0.2">
      <c r="A280" s="35" t="str">
        <f>HYPERLINK("https://mississippidhs.jamacloud.com/perspective.req?projectId=53&amp;docId=28206","LSRP-SHRQ-277")</f>
        <v>LSRP-SHRQ-277</v>
      </c>
      <c r="B280" s="8" t="s">
        <v>621</v>
      </c>
      <c r="C280" s="35" t="s">
        <v>401</v>
      </c>
      <c r="D280" s="36" t="s">
        <v>35</v>
      </c>
      <c r="E280" s="37" t="s">
        <v>779</v>
      </c>
      <c r="F280" s="35" t="s">
        <v>269</v>
      </c>
      <c r="G280" s="7"/>
      <c r="H280" s="7"/>
      <c r="I280" s="12"/>
    </row>
    <row r="281" spans="1:9" ht="25.5" x14ac:dyDescent="0.2">
      <c r="A281" s="35" t="str">
        <f>HYPERLINK("https://mississippidhs.jamacloud.com/perspective.req?projectId=53&amp;docId=28207","LSRP-SHRQ-278")</f>
        <v>LSRP-SHRQ-278</v>
      </c>
      <c r="B281" s="8" t="s">
        <v>622</v>
      </c>
      <c r="C281" s="35" t="s">
        <v>401</v>
      </c>
      <c r="D281" s="36" t="s">
        <v>35</v>
      </c>
      <c r="E281" s="37" t="s">
        <v>779</v>
      </c>
      <c r="F281" s="35" t="s">
        <v>269</v>
      </c>
      <c r="G281" s="7"/>
      <c r="H281" s="7"/>
      <c r="I281" s="12"/>
    </row>
    <row r="282" spans="1:9" ht="25.5" x14ac:dyDescent="0.2">
      <c r="A282" s="35" t="str">
        <f>HYPERLINK("https://mississippidhs.jamacloud.com/perspective.req?projectId=53&amp;docId=28208","LSRP-SHRQ-279")</f>
        <v>LSRP-SHRQ-279</v>
      </c>
      <c r="B282" s="8" t="s">
        <v>623</v>
      </c>
      <c r="C282" s="35" t="s">
        <v>401</v>
      </c>
      <c r="D282" s="36" t="s">
        <v>35</v>
      </c>
      <c r="E282" s="37" t="s">
        <v>779</v>
      </c>
      <c r="F282" s="35" t="s">
        <v>452</v>
      </c>
      <c r="G282" s="7"/>
      <c r="H282" s="7"/>
      <c r="I282" s="12"/>
    </row>
    <row r="283" spans="1:9" ht="25.5" x14ac:dyDescent="0.2">
      <c r="A283" s="35" t="str">
        <f>HYPERLINK("https://mississippidhs.jamacloud.com/perspective.req?projectId=53&amp;docId=28209","LSRP-SHRQ-280")</f>
        <v>LSRP-SHRQ-280</v>
      </c>
      <c r="B283" s="8" t="s">
        <v>624</v>
      </c>
      <c r="C283" s="35" t="s">
        <v>401</v>
      </c>
      <c r="D283" s="36" t="s">
        <v>35</v>
      </c>
      <c r="E283" s="37" t="s">
        <v>779</v>
      </c>
      <c r="F283" s="35" t="s">
        <v>269</v>
      </c>
      <c r="G283" s="7"/>
      <c r="H283" s="7"/>
      <c r="I283" s="12"/>
    </row>
    <row r="284" spans="1:9" ht="25.5" x14ac:dyDescent="0.2">
      <c r="A284" s="35" t="str">
        <f>HYPERLINK("https://mississippidhs.jamacloud.com/perspective.req?projectId=53&amp;docId=28210","LSRP-SHRQ-281")</f>
        <v>LSRP-SHRQ-281</v>
      </c>
      <c r="B284" s="8" t="s">
        <v>625</v>
      </c>
      <c r="C284" s="35" t="s">
        <v>401</v>
      </c>
      <c r="D284" s="36" t="s">
        <v>35</v>
      </c>
      <c r="E284" s="37" t="s">
        <v>779</v>
      </c>
      <c r="F284" s="35" t="s">
        <v>626</v>
      </c>
      <c r="G284" s="7"/>
      <c r="H284" s="7"/>
      <c r="I284" s="12"/>
    </row>
    <row r="285" spans="1:9" ht="25.5" x14ac:dyDescent="0.2">
      <c r="A285" s="35" t="str">
        <f>HYPERLINK("https://mississippidhs.jamacloud.com/perspective.req?projectId=53&amp;docId=28211","LSRP-SHRQ-282")</f>
        <v>LSRP-SHRQ-282</v>
      </c>
      <c r="B285" s="8" t="s">
        <v>627</v>
      </c>
      <c r="C285" s="35" t="s">
        <v>401</v>
      </c>
      <c r="D285" s="36" t="s">
        <v>35</v>
      </c>
      <c r="E285" s="37" t="s">
        <v>779</v>
      </c>
      <c r="F285" s="35" t="s">
        <v>626</v>
      </c>
      <c r="G285" s="7"/>
      <c r="H285" s="7"/>
      <c r="I285" s="12"/>
    </row>
    <row r="286" spans="1:9" ht="25.5" x14ac:dyDescent="0.2">
      <c r="A286" s="35" t="str">
        <f>HYPERLINK("https://mississippidhs.jamacloud.com/perspective.req?projectId=53&amp;docId=28212","LSRP-SHRQ-283")</f>
        <v>LSRP-SHRQ-283</v>
      </c>
      <c r="B286" s="8" t="s">
        <v>628</v>
      </c>
      <c r="C286" s="35" t="s">
        <v>401</v>
      </c>
      <c r="D286" s="36" t="s">
        <v>35</v>
      </c>
      <c r="E286" s="37" t="s">
        <v>779</v>
      </c>
      <c r="F286" s="35" t="s">
        <v>626</v>
      </c>
      <c r="G286" s="7"/>
      <c r="H286" s="7"/>
      <c r="I286" s="12"/>
    </row>
    <row r="287" spans="1:9" ht="25.5" x14ac:dyDescent="0.2">
      <c r="A287" s="35" t="str">
        <f>HYPERLINK("https://mississippidhs.jamacloud.com/perspective.req?projectId=53&amp;docId=28213","LSRP-SHRQ-284")</f>
        <v>LSRP-SHRQ-284</v>
      </c>
      <c r="B287" s="8" t="s">
        <v>629</v>
      </c>
      <c r="C287" s="35" t="s">
        <v>401</v>
      </c>
      <c r="D287" s="36" t="s">
        <v>35</v>
      </c>
      <c r="E287" s="37" t="s">
        <v>779</v>
      </c>
      <c r="F287" s="35" t="s">
        <v>269</v>
      </c>
      <c r="G287" s="7"/>
      <c r="H287" s="7"/>
      <c r="I287" s="12"/>
    </row>
    <row r="288" spans="1:9" ht="25.5" x14ac:dyDescent="0.2">
      <c r="A288" s="35" t="str">
        <f>HYPERLINK("https://mississippidhs.jamacloud.com/perspective.req?projectId=53&amp;docId=28214","LSRP-SHRQ-285")</f>
        <v>LSRP-SHRQ-285</v>
      </c>
      <c r="B288" s="8" t="s">
        <v>630</v>
      </c>
      <c r="C288" s="35" t="s">
        <v>401</v>
      </c>
      <c r="D288" s="36" t="s">
        <v>35</v>
      </c>
      <c r="E288" s="37" t="s">
        <v>779</v>
      </c>
      <c r="F288" s="35" t="s">
        <v>578</v>
      </c>
      <c r="G288" s="7"/>
      <c r="H288" s="7"/>
      <c r="I288" s="12"/>
    </row>
    <row r="289" spans="1:9" ht="25.5" x14ac:dyDescent="0.2">
      <c r="A289" s="35" t="str">
        <f>HYPERLINK("https://mississippidhs.jamacloud.com/perspective.req?projectId=53&amp;docId=28215","LSRP-SHRQ-286")</f>
        <v>LSRP-SHRQ-286</v>
      </c>
      <c r="B289" s="8" t="s">
        <v>631</v>
      </c>
      <c r="C289" s="35" t="s">
        <v>401</v>
      </c>
      <c r="D289" s="36" t="s">
        <v>35</v>
      </c>
      <c r="E289" s="37" t="s">
        <v>779</v>
      </c>
      <c r="F289" s="35" t="s">
        <v>578</v>
      </c>
      <c r="G289" s="7"/>
      <c r="H289" s="7"/>
      <c r="I289" s="12"/>
    </row>
    <row r="290" spans="1:9" ht="25.5" x14ac:dyDescent="0.2">
      <c r="A290" s="35" t="str">
        <f>HYPERLINK("https://mississippidhs.jamacloud.com/perspective.req?projectId=53&amp;docId=28216","LSRP-SHRQ-287")</f>
        <v>LSRP-SHRQ-287</v>
      </c>
      <c r="B290" s="8" t="s">
        <v>632</v>
      </c>
      <c r="C290" s="35" t="s">
        <v>401</v>
      </c>
      <c r="D290" s="36" t="s">
        <v>35</v>
      </c>
      <c r="E290" s="37" t="s">
        <v>779</v>
      </c>
      <c r="F290" s="35" t="s">
        <v>578</v>
      </c>
      <c r="G290" s="7"/>
      <c r="H290" s="7"/>
      <c r="I290" s="12"/>
    </row>
    <row r="291" spans="1:9" ht="25.5" x14ac:dyDescent="0.2">
      <c r="A291" s="35" t="str">
        <f>HYPERLINK("https://mississippidhs.jamacloud.com/perspective.req?projectId=53&amp;docId=28217","LSRP-SHRQ-288")</f>
        <v>LSRP-SHRQ-288</v>
      </c>
      <c r="B291" s="8" t="s">
        <v>633</v>
      </c>
      <c r="C291" s="35" t="s">
        <v>401</v>
      </c>
      <c r="D291" s="36" t="s">
        <v>35</v>
      </c>
      <c r="E291" s="37" t="s">
        <v>779</v>
      </c>
      <c r="F291" s="35" t="s">
        <v>626</v>
      </c>
      <c r="G291" s="7"/>
      <c r="H291" s="7"/>
      <c r="I291" s="12"/>
    </row>
    <row r="292" spans="1:9" ht="25.5" x14ac:dyDescent="0.2">
      <c r="A292" s="35" t="str">
        <f>HYPERLINK("https://mississippidhs.jamacloud.com/perspective.req?projectId=53&amp;docId=28218","LSRP-SHRQ-289")</f>
        <v>LSRP-SHRQ-289</v>
      </c>
      <c r="B292" s="8" t="s">
        <v>634</v>
      </c>
      <c r="C292" s="35" t="s">
        <v>401</v>
      </c>
      <c r="D292" s="36" t="s">
        <v>35</v>
      </c>
      <c r="E292" s="37" t="s">
        <v>779</v>
      </c>
      <c r="F292" s="35" t="s">
        <v>626</v>
      </c>
      <c r="G292" s="7"/>
      <c r="H292" s="7"/>
      <c r="I292" s="12"/>
    </row>
    <row r="293" spans="1:9" ht="25.5" x14ac:dyDescent="0.2">
      <c r="A293" s="35" t="str">
        <f>HYPERLINK("https://mississippidhs.jamacloud.com/perspective.req?projectId=53&amp;docId=28219","LSRP-SHRQ-290")</f>
        <v>LSRP-SHRQ-290</v>
      </c>
      <c r="B293" s="8" t="s">
        <v>635</v>
      </c>
      <c r="C293" s="35" t="s">
        <v>401</v>
      </c>
      <c r="D293" s="36" t="s">
        <v>35</v>
      </c>
      <c r="E293" s="37" t="s">
        <v>779</v>
      </c>
      <c r="F293" s="35" t="s">
        <v>626</v>
      </c>
      <c r="G293" s="7"/>
      <c r="H293" s="7"/>
      <c r="I293" s="12"/>
    </row>
    <row r="294" spans="1:9" ht="25.5" x14ac:dyDescent="0.2">
      <c r="A294" s="35" t="str">
        <f>HYPERLINK("https://mississippidhs.jamacloud.com/perspective.req?projectId=53&amp;docId=28220","LSRP-SHRQ-291")</f>
        <v>LSRP-SHRQ-291</v>
      </c>
      <c r="B294" s="8" t="s">
        <v>636</v>
      </c>
      <c r="C294" s="35" t="s">
        <v>401</v>
      </c>
      <c r="D294" s="36" t="s">
        <v>35</v>
      </c>
      <c r="E294" s="37" t="s">
        <v>779</v>
      </c>
      <c r="F294" s="35" t="s">
        <v>269</v>
      </c>
      <c r="G294" s="7"/>
      <c r="H294" s="7"/>
      <c r="I294" s="12"/>
    </row>
    <row r="295" spans="1:9" ht="25.5" x14ac:dyDescent="0.2">
      <c r="A295" s="35" t="str">
        <f>HYPERLINK("https://mississippidhs.jamacloud.com/perspective.req?projectId=53&amp;docId=28221","LSRP-SHRQ-292")</f>
        <v>LSRP-SHRQ-292</v>
      </c>
      <c r="B295" s="8" t="s">
        <v>637</v>
      </c>
      <c r="C295" s="35" t="s">
        <v>401</v>
      </c>
      <c r="D295" s="36" t="s">
        <v>35</v>
      </c>
      <c r="E295" s="37" t="s">
        <v>779</v>
      </c>
      <c r="F295" s="35" t="s">
        <v>573</v>
      </c>
      <c r="G295" s="7"/>
      <c r="H295" s="7"/>
      <c r="I295" s="12"/>
    </row>
    <row r="296" spans="1:9" ht="25.5" x14ac:dyDescent="0.2">
      <c r="A296" s="35" t="str">
        <f>HYPERLINK("https://mississippidhs.jamacloud.com/perspective.req?projectId=53&amp;docId=28222","LSRP-SHRQ-293")</f>
        <v>LSRP-SHRQ-293</v>
      </c>
      <c r="B296" s="8" t="s">
        <v>638</v>
      </c>
      <c r="C296" s="35" t="s">
        <v>401</v>
      </c>
      <c r="D296" s="36" t="s">
        <v>35</v>
      </c>
      <c r="E296" s="37" t="s">
        <v>779</v>
      </c>
      <c r="F296" s="35" t="s">
        <v>269</v>
      </c>
      <c r="G296" s="7"/>
      <c r="H296" s="7"/>
      <c r="I296" s="12"/>
    </row>
    <row r="297" spans="1:9" ht="25.5" x14ac:dyDescent="0.2">
      <c r="A297" s="35" t="str">
        <f>HYPERLINK("https://mississippidhs.jamacloud.com/perspective.req?projectId=53&amp;docId=28223","LSRP-SHRQ-294")</f>
        <v>LSRP-SHRQ-294</v>
      </c>
      <c r="B297" s="8" t="s">
        <v>639</v>
      </c>
      <c r="C297" s="35" t="s">
        <v>401</v>
      </c>
      <c r="D297" s="36" t="s">
        <v>35</v>
      </c>
      <c r="E297" s="37" t="s">
        <v>779</v>
      </c>
      <c r="F297" s="35" t="s">
        <v>425</v>
      </c>
      <c r="G297" s="7"/>
      <c r="H297" s="7"/>
      <c r="I297" s="12"/>
    </row>
    <row r="298" spans="1:9" ht="38.25" x14ac:dyDescent="0.2">
      <c r="A298" s="35" t="str">
        <f>HYPERLINK("https://mississippidhs.jamacloud.com/perspective.req?projectId=53&amp;docId=28224","LSRP-SHRQ-295")</f>
        <v>LSRP-SHRQ-295</v>
      </c>
      <c r="B298" s="8" t="s">
        <v>640</v>
      </c>
      <c r="C298" s="35" t="s">
        <v>401</v>
      </c>
      <c r="D298" s="36" t="s">
        <v>35</v>
      </c>
      <c r="E298" s="37" t="s">
        <v>779</v>
      </c>
      <c r="F298" s="35" t="s">
        <v>582</v>
      </c>
      <c r="G298" s="7"/>
      <c r="H298" s="7"/>
      <c r="I298" s="12"/>
    </row>
    <row r="299" spans="1:9" ht="25.5" x14ac:dyDescent="0.2">
      <c r="A299" s="35" t="str">
        <f>HYPERLINK("https://mississippidhs.jamacloud.com/perspective.req?projectId=53&amp;docId=28225","LSRP-SHRQ-296")</f>
        <v>LSRP-SHRQ-296</v>
      </c>
      <c r="B299" s="8" t="s">
        <v>641</v>
      </c>
      <c r="C299" s="35" t="s">
        <v>401</v>
      </c>
      <c r="D299" s="36" t="s">
        <v>35</v>
      </c>
      <c r="E299" s="37" t="s">
        <v>779</v>
      </c>
      <c r="F299" s="35" t="s">
        <v>554</v>
      </c>
      <c r="G299" s="7"/>
      <c r="H299" s="7"/>
      <c r="I299" s="12"/>
    </row>
    <row r="300" spans="1:9" ht="38.25" x14ac:dyDescent="0.2">
      <c r="A300" s="35" t="str">
        <f>HYPERLINK("https://mississippidhs.jamacloud.com/perspective.req?projectId=53&amp;docId=28226","LSRP-SHRQ-297")</f>
        <v>LSRP-SHRQ-297</v>
      </c>
      <c r="B300" s="8" t="s">
        <v>642</v>
      </c>
      <c r="C300" s="35" t="s">
        <v>401</v>
      </c>
      <c r="D300" s="36" t="s">
        <v>35</v>
      </c>
      <c r="E300" s="37" t="s">
        <v>779</v>
      </c>
      <c r="F300" s="35" t="s">
        <v>626</v>
      </c>
      <c r="G300" s="7"/>
      <c r="H300" s="7"/>
      <c r="I300" s="12"/>
    </row>
    <row r="301" spans="1:9" ht="51" x14ac:dyDescent="0.2">
      <c r="A301" s="35" t="str">
        <f>HYPERLINK("https://mississippidhs.jamacloud.com/perspective.req?projectId=53&amp;docId=28227","LSRP-SHRQ-298")</f>
        <v>LSRP-SHRQ-298</v>
      </c>
      <c r="B301" s="8" t="s">
        <v>643</v>
      </c>
      <c r="C301" s="35" t="s">
        <v>401</v>
      </c>
      <c r="D301" s="36" t="s">
        <v>35</v>
      </c>
      <c r="E301" s="37" t="s">
        <v>779</v>
      </c>
      <c r="F301" s="35" t="s">
        <v>590</v>
      </c>
      <c r="G301" s="7"/>
      <c r="H301" s="7"/>
      <c r="I301" s="12"/>
    </row>
    <row r="302" spans="1:9" ht="25.5" x14ac:dyDescent="0.2">
      <c r="A302" s="35" t="str">
        <f>HYPERLINK("https://mississippidhs.jamacloud.com/perspective.req?projectId=53&amp;docId=28228","LSRP-SHRQ-299")</f>
        <v>LSRP-SHRQ-299</v>
      </c>
      <c r="B302" s="8" t="s">
        <v>644</v>
      </c>
      <c r="C302" s="35" t="s">
        <v>401</v>
      </c>
      <c r="D302" s="36" t="s">
        <v>35</v>
      </c>
      <c r="E302" s="37" t="s">
        <v>779</v>
      </c>
      <c r="F302" s="35" t="s">
        <v>322</v>
      </c>
      <c r="G302" s="7"/>
      <c r="H302" s="7"/>
      <c r="I302" s="12"/>
    </row>
    <row r="303" spans="1:9" ht="25.5" x14ac:dyDescent="0.2">
      <c r="A303" s="35" t="str">
        <f>HYPERLINK("https://mississippidhs.jamacloud.com/perspective.req?projectId=53&amp;docId=28229","LSRP-SHRQ-300")</f>
        <v>LSRP-SHRQ-300</v>
      </c>
      <c r="B303" s="8" t="s">
        <v>645</v>
      </c>
      <c r="C303" s="35" t="s">
        <v>401</v>
      </c>
      <c r="D303" s="36" t="s">
        <v>35</v>
      </c>
      <c r="E303" s="37" t="s">
        <v>779</v>
      </c>
      <c r="F303" s="35" t="s">
        <v>394</v>
      </c>
      <c r="G303" s="7"/>
      <c r="H303" s="7"/>
      <c r="I303" s="12"/>
    </row>
    <row r="304" spans="1:9" ht="38.25" x14ac:dyDescent="0.2">
      <c r="A304" s="35" t="str">
        <f>HYPERLINK("https://mississippidhs.jamacloud.com/perspective.req?projectId=53&amp;docId=28230","LSRP-SHRQ-301")</f>
        <v>LSRP-SHRQ-301</v>
      </c>
      <c r="B304" s="8" t="s">
        <v>646</v>
      </c>
      <c r="C304" s="35" t="s">
        <v>401</v>
      </c>
      <c r="D304" s="36" t="s">
        <v>35</v>
      </c>
      <c r="E304" s="37" t="s">
        <v>779</v>
      </c>
      <c r="F304" s="35" t="s">
        <v>425</v>
      </c>
      <c r="G304" s="7"/>
      <c r="H304" s="7"/>
      <c r="I304" s="12"/>
    </row>
    <row r="305" spans="1:9" ht="38.25" x14ac:dyDescent="0.2">
      <c r="A305" s="35" t="str">
        <f>HYPERLINK("https://mississippidhs.jamacloud.com/perspective.req?projectId=53&amp;docId=28231","LSRP-SHRQ-302")</f>
        <v>LSRP-SHRQ-302</v>
      </c>
      <c r="B305" s="8" t="s">
        <v>647</v>
      </c>
      <c r="C305" s="35" t="s">
        <v>401</v>
      </c>
      <c r="D305" s="36" t="s">
        <v>35</v>
      </c>
      <c r="E305" s="37" t="s">
        <v>779</v>
      </c>
      <c r="F305" s="35" t="s">
        <v>626</v>
      </c>
      <c r="G305" s="7"/>
      <c r="H305" s="7"/>
      <c r="I305" s="12"/>
    </row>
    <row r="306" spans="1:9" ht="25.5" x14ac:dyDescent="0.2">
      <c r="A306" s="35" t="str">
        <f>HYPERLINK("https://mississippidhs.jamacloud.com/perspective.req?projectId=53&amp;docId=28232","LSRP-SHRQ-303")</f>
        <v>LSRP-SHRQ-303</v>
      </c>
      <c r="B306" s="8" t="s">
        <v>648</v>
      </c>
      <c r="C306" s="35" t="s">
        <v>401</v>
      </c>
      <c r="D306" s="36" t="s">
        <v>35</v>
      </c>
      <c r="E306" s="37" t="s">
        <v>779</v>
      </c>
      <c r="F306" s="35" t="s">
        <v>582</v>
      </c>
      <c r="G306" s="7"/>
      <c r="H306" s="7"/>
      <c r="I306" s="12"/>
    </row>
    <row r="307" spans="1:9" ht="25.5" x14ac:dyDescent="0.2">
      <c r="A307" s="35" t="str">
        <f>HYPERLINK("https://mississippidhs.jamacloud.com/perspective.req?projectId=53&amp;docId=28233","LSRP-SHRQ-304")</f>
        <v>LSRP-SHRQ-304</v>
      </c>
      <c r="B307" s="8" t="s">
        <v>649</v>
      </c>
      <c r="C307" s="35" t="s">
        <v>401</v>
      </c>
      <c r="D307" s="36" t="s">
        <v>35</v>
      </c>
      <c r="E307" s="37" t="s">
        <v>779</v>
      </c>
      <c r="F307" s="35" t="s">
        <v>590</v>
      </c>
      <c r="G307" s="7"/>
      <c r="H307" s="7"/>
      <c r="I307" s="12"/>
    </row>
    <row r="308" spans="1:9" ht="25.5" x14ac:dyDescent="0.2">
      <c r="A308" s="35" t="str">
        <f>HYPERLINK("https://mississippidhs.jamacloud.com/perspective.req?projectId=53&amp;docId=28234","LSRP-SHRQ-305")</f>
        <v>LSRP-SHRQ-305</v>
      </c>
      <c r="B308" s="8" t="s">
        <v>650</v>
      </c>
      <c r="C308" s="35" t="s">
        <v>401</v>
      </c>
      <c r="D308" s="36" t="s">
        <v>35</v>
      </c>
      <c r="E308" s="37" t="s">
        <v>779</v>
      </c>
      <c r="F308" s="35" t="s">
        <v>590</v>
      </c>
      <c r="G308" s="7"/>
      <c r="H308" s="7"/>
      <c r="I308" s="12"/>
    </row>
    <row r="309" spans="1:9" ht="25.5" x14ac:dyDescent="0.2">
      <c r="A309" s="35" t="str">
        <f>HYPERLINK("https://mississippidhs.jamacloud.com/perspective.req?projectId=53&amp;docId=28235","LSRP-SHRQ-306")</f>
        <v>LSRP-SHRQ-306</v>
      </c>
      <c r="B309" s="8" t="s">
        <v>651</v>
      </c>
      <c r="C309" s="35" t="s">
        <v>401</v>
      </c>
      <c r="D309" s="36" t="s">
        <v>35</v>
      </c>
      <c r="E309" s="37" t="s">
        <v>779</v>
      </c>
      <c r="F309" s="35" t="s">
        <v>554</v>
      </c>
      <c r="G309" s="7"/>
      <c r="H309" s="7"/>
      <c r="I309" s="12"/>
    </row>
    <row r="310" spans="1:9" ht="25.5" x14ac:dyDescent="0.2">
      <c r="A310" s="35" t="str">
        <f>HYPERLINK("https://mississippidhs.jamacloud.com/perspective.req?projectId=53&amp;docId=28236","LSRP-SHRQ-307")</f>
        <v>LSRP-SHRQ-307</v>
      </c>
      <c r="B310" s="8" t="s">
        <v>652</v>
      </c>
      <c r="C310" s="35" t="s">
        <v>401</v>
      </c>
      <c r="D310" s="36" t="s">
        <v>35</v>
      </c>
      <c r="E310" s="37" t="s">
        <v>779</v>
      </c>
      <c r="F310" s="35" t="s">
        <v>582</v>
      </c>
      <c r="G310" s="7"/>
      <c r="H310" s="7"/>
      <c r="I310" s="12"/>
    </row>
    <row r="311" spans="1:9" ht="25.5" x14ac:dyDescent="0.2">
      <c r="A311" s="35" t="str">
        <f>HYPERLINK("https://mississippidhs.jamacloud.com/perspective.req?projectId=53&amp;docId=28237","LSRP-SHRQ-308")</f>
        <v>LSRP-SHRQ-308</v>
      </c>
      <c r="B311" s="8" t="s">
        <v>653</v>
      </c>
      <c r="C311" s="35" t="s">
        <v>401</v>
      </c>
      <c r="D311" s="36" t="s">
        <v>35</v>
      </c>
      <c r="E311" s="37" t="s">
        <v>779</v>
      </c>
      <c r="F311" s="35" t="s">
        <v>582</v>
      </c>
      <c r="G311" s="7"/>
      <c r="H311" s="7"/>
      <c r="I311" s="12"/>
    </row>
    <row r="312" spans="1:9" ht="38.25" x14ac:dyDescent="0.2">
      <c r="A312" s="35" t="str">
        <f>HYPERLINK("https://mississippidhs.jamacloud.com/perspective.req?projectId=53&amp;docId=28238","LSRP-SHRQ-309")</f>
        <v>LSRP-SHRQ-309</v>
      </c>
      <c r="B312" s="8" t="s">
        <v>654</v>
      </c>
      <c r="C312" s="35" t="s">
        <v>401</v>
      </c>
      <c r="D312" s="36" t="s">
        <v>35</v>
      </c>
      <c r="E312" s="37" t="s">
        <v>779</v>
      </c>
      <c r="F312" s="35" t="s">
        <v>582</v>
      </c>
      <c r="G312" s="7"/>
      <c r="H312" s="7"/>
      <c r="I312" s="12"/>
    </row>
    <row r="313" spans="1:9" ht="38.25" x14ac:dyDescent="0.2">
      <c r="A313" s="35" t="str">
        <f>HYPERLINK("https://mississippidhs.jamacloud.com/perspective.req?projectId=53&amp;docId=28239","LSRP-SHRQ-310")</f>
        <v>LSRP-SHRQ-310</v>
      </c>
      <c r="B313" s="8" t="s">
        <v>655</v>
      </c>
      <c r="C313" s="35" t="s">
        <v>401</v>
      </c>
      <c r="D313" s="36" t="s">
        <v>35</v>
      </c>
      <c r="E313" s="37" t="s">
        <v>779</v>
      </c>
      <c r="F313" s="35" t="s">
        <v>554</v>
      </c>
      <c r="G313" s="7"/>
      <c r="H313" s="7"/>
      <c r="I313" s="12"/>
    </row>
    <row r="314" spans="1:9" ht="25.5" x14ac:dyDescent="0.2">
      <c r="A314" s="35" t="str">
        <f>HYPERLINK("https://mississippidhs.jamacloud.com/perspective.req?projectId=53&amp;docId=28240","LSRP-SHRQ-311")</f>
        <v>LSRP-SHRQ-311</v>
      </c>
      <c r="B314" s="8" t="s">
        <v>656</v>
      </c>
      <c r="C314" s="35" t="s">
        <v>401</v>
      </c>
      <c r="D314" s="36" t="s">
        <v>35</v>
      </c>
      <c r="E314" s="37" t="s">
        <v>779</v>
      </c>
      <c r="F314" s="35" t="s">
        <v>626</v>
      </c>
      <c r="G314" s="7"/>
      <c r="H314" s="7"/>
      <c r="I314" s="12"/>
    </row>
    <row r="315" spans="1:9" ht="25.5" x14ac:dyDescent="0.2">
      <c r="A315" s="35" t="str">
        <f>HYPERLINK("https://mississippidhs.jamacloud.com/perspective.req?projectId=53&amp;docId=28241","LSRP-SHRQ-312")</f>
        <v>LSRP-SHRQ-312</v>
      </c>
      <c r="B315" s="8" t="s">
        <v>657</v>
      </c>
      <c r="C315" s="35" t="s">
        <v>401</v>
      </c>
      <c r="D315" s="36" t="s">
        <v>35</v>
      </c>
      <c r="E315" s="37" t="s">
        <v>779</v>
      </c>
      <c r="F315" s="35" t="s">
        <v>425</v>
      </c>
      <c r="G315" s="7"/>
      <c r="H315" s="7"/>
      <c r="I315" s="12"/>
    </row>
    <row r="316" spans="1:9" ht="25.5" x14ac:dyDescent="0.2">
      <c r="A316" s="35" t="str">
        <f>HYPERLINK("https://mississippidhs.jamacloud.com/perspective.req?projectId=53&amp;docId=28242","LSRP-SHRQ-313")</f>
        <v>LSRP-SHRQ-313</v>
      </c>
      <c r="B316" s="8" t="s">
        <v>658</v>
      </c>
      <c r="C316" s="35" t="s">
        <v>401</v>
      </c>
      <c r="D316" s="36" t="s">
        <v>35</v>
      </c>
      <c r="E316" s="37" t="s">
        <v>779</v>
      </c>
      <c r="F316" s="35" t="s">
        <v>425</v>
      </c>
      <c r="G316" s="7"/>
      <c r="H316" s="7"/>
      <c r="I316" s="12"/>
    </row>
    <row r="317" spans="1:9" ht="25.5" x14ac:dyDescent="0.2">
      <c r="A317" s="35" t="str">
        <f>HYPERLINK("https://mississippidhs.jamacloud.com/perspective.req?projectId=53&amp;docId=28243","LSRP-SHRQ-314")</f>
        <v>LSRP-SHRQ-314</v>
      </c>
      <c r="B317" s="8" t="s">
        <v>659</v>
      </c>
      <c r="C317" s="35" t="s">
        <v>401</v>
      </c>
      <c r="D317" s="36" t="s">
        <v>35</v>
      </c>
      <c r="E317" s="37" t="s">
        <v>779</v>
      </c>
      <c r="F317" s="35" t="s">
        <v>425</v>
      </c>
      <c r="G317" s="7"/>
      <c r="H317" s="7"/>
      <c r="I317" s="12"/>
    </row>
    <row r="318" spans="1:9" ht="25.5" x14ac:dyDescent="0.2">
      <c r="A318" s="35" t="str">
        <f>HYPERLINK("https://mississippidhs.jamacloud.com/perspective.req?projectId=53&amp;docId=28244","LSRP-SHRQ-315")</f>
        <v>LSRP-SHRQ-315</v>
      </c>
      <c r="B318" s="8" t="s">
        <v>660</v>
      </c>
      <c r="C318" s="35" t="s">
        <v>401</v>
      </c>
      <c r="D318" s="36" t="s">
        <v>35</v>
      </c>
      <c r="E318" s="37" t="s">
        <v>779</v>
      </c>
      <c r="F318" s="35" t="s">
        <v>582</v>
      </c>
      <c r="G318" s="7"/>
      <c r="H318" s="7"/>
      <c r="I318" s="12"/>
    </row>
    <row r="319" spans="1:9" ht="25.5" x14ac:dyDescent="0.2">
      <c r="A319" s="35" t="str">
        <f>HYPERLINK("https://mississippidhs.jamacloud.com/perspective.req?projectId=53&amp;docId=28245","LSRP-SHRQ-316")</f>
        <v>LSRP-SHRQ-316</v>
      </c>
      <c r="B319" s="8" t="s">
        <v>661</v>
      </c>
      <c r="C319" s="35" t="s">
        <v>401</v>
      </c>
      <c r="D319" s="36" t="s">
        <v>35</v>
      </c>
      <c r="E319" s="37" t="s">
        <v>779</v>
      </c>
      <c r="F319" s="35" t="s">
        <v>425</v>
      </c>
      <c r="G319" s="7"/>
      <c r="H319" s="7"/>
      <c r="I319" s="12"/>
    </row>
    <row r="320" spans="1:9" ht="38.25" x14ac:dyDescent="0.2">
      <c r="A320" s="35" t="str">
        <f>HYPERLINK("https://mississippidhs.jamacloud.com/perspective.req?projectId=53&amp;docId=28246","LSRP-SHRQ-317")</f>
        <v>LSRP-SHRQ-317</v>
      </c>
      <c r="B320" s="8" t="s">
        <v>662</v>
      </c>
      <c r="C320" s="35" t="s">
        <v>401</v>
      </c>
      <c r="D320" s="36" t="s">
        <v>35</v>
      </c>
      <c r="E320" s="37" t="s">
        <v>779</v>
      </c>
      <c r="F320" s="35" t="s">
        <v>582</v>
      </c>
      <c r="G320" s="7"/>
      <c r="H320" s="7"/>
      <c r="I320" s="12"/>
    </row>
    <row r="321" spans="1:9" ht="25.5" x14ac:dyDescent="0.2">
      <c r="A321" s="35" t="str">
        <f>HYPERLINK("https://mississippidhs.jamacloud.com/perspective.req?projectId=53&amp;docId=28247","LSRP-SHRQ-318")</f>
        <v>LSRP-SHRQ-318</v>
      </c>
      <c r="B321" s="8" t="s">
        <v>663</v>
      </c>
      <c r="C321" s="35" t="s">
        <v>401</v>
      </c>
      <c r="D321" s="36" t="s">
        <v>35</v>
      </c>
      <c r="E321" s="37" t="s">
        <v>779</v>
      </c>
      <c r="F321" s="35" t="s">
        <v>582</v>
      </c>
      <c r="G321" s="7"/>
      <c r="H321" s="7"/>
      <c r="I321" s="12"/>
    </row>
    <row r="322" spans="1:9" ht="25.5" x14ac:dyDescent="0.2">
      <c r="A322" s="35" t="str">
        <f>HYPERLINK("https://mississippidhs.jamacloud.com/perspective.req?projectId=53&amp;docId=28248","LSRP-SHRQ-319")</f>
        <v>LSRP-SHRQ-319</v>
      </c>
      <c r="B322" s="8" t="s">
        <v>664</v>
      </c>
      <c r="C322" s="35" t="s">
        <v>401</v>
      </c>
      <c r="D322" s="36" t="s">
        <v>35</v>
      </c>
      <c r="E322" s="37" t="s">
        <v>779</v>
      </c>
      <c r="F322" s="35" t="s">
        <v>582</v>
      </c>
      <c r="G322" s="7"/>
      <c r="H322" s="7"/>
      <c r="I322" s="12"/>
    </row>
    <row r="323" spans="1:9" ht="38.25" x14ac:dyDescent="0.2">
      <c r="A323" s="35" t="str">
        <f>HYPERLINK("https://mississippidhs.jamacloud.com/perspective.req?projectId=53&amp;docId=28249","LSRP-SHRQ-320")</f>
        <v>LSRP-SHRQ-320</v>
      </c>
      <c r="B323" s="8" t="s">
        <v>665</v>
      </c>
      <c r="C323" s="35" t="s">
        <v>401</v>
      </c>
      <c r="D323" s="36" t="s">
        <v>35</v>
      </c>
      <c r="E323" s="37" t="s">
        <v>779</v>
      </c>
      <c r="F323" s="35" t="s">
        <v>582</v>
      </c>
      <c r="G323" s="7"/>
      <c r="H323" s="7"/>
      <c r="I323" s="12"/>
    </row>
    <row r="324" spans="1:9" ht="25.5" x14ac:dyDescent="0.2">
      <c r="A324" s="35" t="str">
        <f>HYPERLINK("https://mississippidhs.jamacloud.com/perspective.req?projectId=53&amp;docId=28250","LSRP-SHRQ-321")</f>
        <v>LSRP-SHRQ-321</v>
      </c>
      <c r="B324" s="8" t="s">
        <v>666</v>
      </c>
      <c r="C324" s="35" t="s">
        <v>401</v>
      </c>
      <c r="D324" s="36" t="s">
        <v>35</v>
      </c>
      <c r="E324" s="37" t="s">
        <v>779</v>
      </c>
      <c r="F324" s="35" t="s">
        <v>582</v>
      </c>
      <c r="G324" s="7"/>
      <c r="H324" s="7"/>
      <c r="I324" s="12"/>
    </row>
    <row r="325" spans="1:9" ht="25.5" x14ac:dyDescent="0.2">
      <c r="A325" s="35" t="str">
        <f>HYPERLINK("https://mississippidhs.jamacloud.com/perspective.req?projectId=53&amp;docId=28251","LSRP-SHRQ-322")</f>
        <v>LSRP-SHRQ-322</v>
      </c>
      <c r="B325" s="8" t="s">
        <v>667</v>
      </c>
      <c r="C325" s="35" t="s">
        <v>401</v>
      </c>
      <c r="D325" s="36" t="s">
        <v>35</v>
      </c>
      <c r="E325" s="37" t="s">
        <v>779</v>
      </c>
      <c r="F325" s="35" t="s">
        <v>582</v>
      </c>
      <c r="G325" s="7"/>
      <c r="H325" s="7"/>
      <c r="I325" s="12"/>
    </row>
    <row r="326" spans="1:9" ht="25.5" x14ac:dyDescent="0.2">
      <c r="A326" s="35" t="str">
        <f>HYPERLINK("https://mississippidhs.jamacloud.com/perspective.req?projectId=53&amp;docId=28252","LSRP-SHRQ-323")</f>
        <v>LSRP-SHRQ-323</v>
      </c>
      <c r="B326" s="8" t="s">
        <v>668</v>
      </c>
      <c r="C326" s="35" t="s">
        <v>401</v>
      </c>
      <c r="D326" s="36" t="s">
        <v>35</v>
      </c>
      <c r="E326" s="37" t="s">
        <v>779</v>
      </c>
      <c r="F326" s="35" t="s">
        <v>582</v>
      </c>
      <c r="G326" s="7"/>
      <c r="H326" s="7"/>
      <c r="I326" s="12"/>
    </row>
    <row r="327" spans="1:9" ht="25.5" x14ac:dyDescent="0.2">
      <c r="A327" s="35" t="str">
        <f>HYPERLINK("https://mississippidhs.jamacloud.com/perspective.req?projectId=53&amp;docId=29752","LSRP-SHRQ-1804")</f>
        <v>LSRP-SHRQ-1804</v>
      </c>
      <c r="B327" s="8" t="s">
        <v>669</v>
      </c>
      <c r="C327" s="35" t="s">
        <v>401</v>
      </c>
      <c r="D327" s="36" t="s">
        <v>35</v>
      </c>
      <c r="E327" s="37" t="s">
        <v>779</v>
      </c>
      <c r="F327" s="35" t="s">
        <v>670</v>
      </c>
      <c r="G327" s="7"/>
      <c r="H327" s="7"/>
      <c r="I327" s="12"/>
    </row>
    <row r="328" spans="1:9" ht="38.25" x14ac:dyDescent="0.2">
      <c r="A328" s="35" t="str">
        <f>HYPERLINK("https://mississippidhs.jamacloud.com/perspective.req?projectId=53&amp;docId=29753","LSRP-SHRQ-1805")</f>
        <v>LSRP-SHRQ-1805</v>
      </c>
      <c r="B328" s="8" t="s">
        <v>671</v>
      </c>
      <c r="C328" s="35" t="s">
        <v>401</v>
      </c>
      <c r="D328" s="36" t="s">
        <v>35</v>
      </c>
      <c r="E328" s="37" t="s">
        <v>779</v>
      </c>
      <c r="F328" s="35" t="s">
        <v>670</v>
      </c>
      <c r="G328" s="7"/>
      <c r="H328" s="7"/>
      <c r="I328" s="12"/>
    </row>
    <row r="329" spans="1:9" ht="38.25" x14ac:dyDescent="0.2">
      <c r="A329" s="35" t="str">
        <f>HYPERLINK("https://mississippidhs.jamacloud.com/perspective.req?projectId=53&amp;docId=28254","LSRP-SHRQ-324")</f>
        <v>LSRP-SHRQ-324</v>
      </c>
      <c r="B329" s="8" t="s">
        <v>672</v>
      </c>
      <c r="C329" s="35" t="s">
        <v>401</v>
      </c>
      <c r="D329" s="36" t="s">
        <v>39</v>
      </c>
      <c r="E329" s="37" t="s">
        <v>779</v>
      </c>
      <c r="F329" s="35" t="s">
        <v>545</v>
      </c>
      <c r="G329" s="7"/>
      <c r="H329" s="7"/>
      <c r="I329" s="12"/>
    </row>
    <row r="330" spans="1:9" ht="38.25" x14ac:dyDescent="0.2">
      <c r="A330" s="35" t="str">
        <f>HYPERLINK("https://mississippidhs.jamacloud.com/perspective.req?projectId=53&amp;docId=28255","LSRP-SHRQ-325")</f>
        <v>LSRP-SHRQ-325</v>
      </c>
      <c r="B330" s="8" t="s">
        <v>673</v>
      </c>
      <c r="C330" s="35" t="s">
        <v>401</v>
      </c>
      <c r="D330" s="36" t="s">
        <v>39</v>
      </c>
      <c r="E330" s="37" t="s">
        <v>779</v>
      </c>
      <c r="F330" s="35" t="s">
        <v>545</v>
      </c>
      <c r="G330" s="7"/>
      <c r="H330" s="7"/>
      <c r="I330" s="12"/>
    </row>
    <row r="331" spans="1:9" ht="25.5" x14ac:dyDescent="0.2">
      <c r="A331" s="35" t="str">
        <f>HYPERLINK("https://mississippidhs.jamacloud.com/perspective.req?projectId=53&amp;docId=28256","LSRP-SHRQ-326")</f>
        <v>LSRP-SHRQ-326</v>
      </c>
      <c r="B331" s="8" t="s">
        <v>674</v>
      </c>
      <c r="C331" s="35" t="s">
        <v>401</v>
      </c>
      <c r="D331" s="36" t="s">
        <v>39</v>
      </c>
      <c r="E331" s="37" t="s">
        <v>779</v>
      </c>
      <c r="F331" s="35" t="s">
        <v>545</v>
      </c>
      <c r="G331" s="7"/>
      <c r="H331" s="7"/>
      <c r="I331" s="12"/>
    </row>
    <row r="332" spans="1:9" ht="51" x14ac:dyDescent="0.2">
      <c r="A332" s="35" t="str">
        <f>HYPERLINK("https://mississippidhs.jamacloud.com/perspective.req?projectId=53&amp;docId=28257","LSRP-SHRQ-327")</f>
        <v>LSRP-SHRQ-327</v>
      </c>
      <c r="B332" s="8" t="s">
        <v>675</v>
      </c>
      <c r="C332" s="35" t="s">
        <v>401</v>
      </c>
      <c r="D332" s="36" t="s">
        <v>39</v>
      </c>
      <c r="E332" s="37" t="s">
        <v>779</v>
      </c>
      <c r="F332" s="35" t="s">
        <v>545</v>
      </c>
      <c r="G332" s="7"/>
      <c r="H332" s="7"/>
      <c r="I332" s="12"/>
    </row>
    <row r="333" spans="1:9" ht="38.25" x14ac:dyDescent="0.2">
      <c r="A333" s="35" t="str">
        <f>HYPERLINK("https://mississippidhs.jamacloud.com/perspective.req?projectId=53&amp;docId=28258","LSRP-SHRQ-328")</f>
        <v>LSRP-SHRQ-328</v>
      </c>
      <c r="B333" s="8" t="s">
        <v>676</v>
      </c>
      <c r="C333" s="35" t="s">
        <v>401</v>
      </c>
      <c r="D333" s="36" t="s">
        <v>39</v>
      </c>
      <c r="E333" s="37" t="s">
        <v>779</v>
      </c>
      <c r="F333" s="35" t="s">
        <v>545</v>
      </c>
      <c r="G333" s="7"/>
      <c r="H333" s="7"/>
      <c r="I333" s="12"/>
    </row>
    <row r="334" spans="1:9" ht="25.5" x14ac:dyDescent="0.2">
      <c r="A334" s="35" t="str">
        <f>HYPERLINK("https://mississippidhs.jamacloud.com/perspective.req?projectId=53&amp;docId=28259","LSRP-SHRQ-329")</f>
        <v>LSRP-SHRQ-329</v>
      </c>
      <c r="B334" s="8" t="s">
        <v>677</v>
      </c>
      <c r="C334" s="35" t="s">
        <v>401</v>
      </c>
      <c r="D334" s="36" t="s">
        <v>39</v>
      </c>
      <c r="E334" s="37" t="s">
        <v>779</v>
      </c>
      <c r="F334" s="35" t="s">
        <v>545</v>
      </c>
      <c r="G334" s="7"/>
      <c r="H334" s="7"/>
      <c r="I334" s="12"/>
    </row>
    <row r="335" spans="1:9" ht="25.5" x14ac:dyDescent="0.2">
      <c r="A335" s="35" t="str">
        <f>HYPERLINK("https://mississippidhs.jamacloud.com/perspective.req?projectId=53&amp;docId=28260","LSRP-SHRQ-330")</f>
        <v>LSRP-SHRQ-330</v>
      </c>
      <c r="B335" s="8" t="s">
        <v>678</v>
      </c>
      <c r="C335" s="35" t="s">
        <v>401</v>
      </c>
      <c r="D335" s="36" t="s">
        <v>39</v>
      </c>
      <c r="E335" s="37" t="s">
        <v>779</v>
      </c>
      <c r="F335" s="35" t="s">
        <v>679</v>
      </c>
      <c r="G335" s="7"/>
      <c r="H335" s="7"/>
      <c r="I335" s="12"/>
    </row>
    <row r="336" spans="1:9" ht="51" x14ac:dyDescent="0.2">
      <c r="A336" s="35" t="str">
        <f>HYPERLINK("https://mississippidhs.jamacloud.com/perspective.req?projectId=53&amp;docId=28261","LSRP-SHRQ-331")</f>
        <v>LSRP-SHRQ-331</v>
      </c>
      <c r="B336" s="8" t="s">
        <v>680</v>
      </c>
      <c r="C336" s="35" t="s">
        <v>401</v>
      </c>
      <c r="D336" s="36" t="s">
        <v>39</v>
      </c>
      <c r="E336" s="37" t="s">
        <v>779</v>
      </c>
      <c r="F336" s="35" t="s">
        <v>545</v>
      </c>
      <c r="G336" s="7"/>
      <c r="H336" s="7"/>
      <c r="I336" s="12"/>
    </row>
    <row r="337" spans="1:9" ht="25.5" x14ac:dyDescent="0.2">
      <c r="A337" s="35" t="str">
        <f>HYPERLINK("https://mississippidhs.jamacloud.com/perspective.req?projectId=53&amp;docId=28262","LSRP-SHRQ-332")</f>
        <v>LSRP-SHRQ-332</v>
      </c>
      <c r="B337" s="8" t="s">
        <v>681</v>
      </c>
      <c r="C337" s="35" t="s">
        <v>401</v>
      </c>
      <c r="D337" s="36" t="s">
        <v>39</v>
      </c>
      <c r="E337" s="37" t="s">
        <v>779</v>
      </c>
      <c r="F337" s="35" t="s">
        <v>545</v>
      </c>
      <c r="G337" s="7"/>
      <c r="H337" s="7"/>
      <c r="I337" s="12"/>
    </row>
    <row r="338" spans="1:9" ht="38.25" x14ac:dyDescent="0.2">
      <c r="A338" s="35" t="str">
        <f>HYPERLINK("https://mississippidhs.jamacloud.com/perspective.req?projectId=53&amp;docId=28263","LSRP-SHRQ-333")</f>
        <v>LSRP-SHRQ-333</v>
      </c>
      <c r="B338" s="8" t="s">
        <v>682</v>
      </c>
      <c r="C338" s="35" t="s">
        <v>401</v>
      </c>
      <c r="D338" s="36" t="s">
        <v>39</v>
      </c>
      <c r="E338" s="37" t="s">
        <v>779</v>
      </c>
      <c r="F338" s="35" t="s">
        <v>545</v>
      </c>
      <c r="G338" s="7"/>
      <c r="H338" s="7"/>
      <c r="I338" s="12"/>
    </row>
    <row r="339" spans="1:9" ht="25.5" x14ac:dyDescent="0.2">
      <c r="A339" s="35" t="str">
        <f>HYPERLINK("https://mississippidhs.jamacloud.com/perspective.req?projectId=53&amp;docId=28264","LSRP-SHRQ-334")</f>
        <v>LSRP-SHRQ-334</v>
      </c>
      <c r="B339" s="8" t="s">
        <v>683</v>
      </c>
      <c r="C339" s="35" t="s">
        <v>401</v>
      </c>
      <c r="D339" s="36" t="s">
        <v>39</v>
      </c>
      <c r="E339" s="37" t="s">
        <v>779</v>
      </c>
      <c r="F339" s="35" t="s">
        <v>545</v>
      </c>
      <c r="G339" s="7"/>
      <c r="H339" s="7"/>
      <c r="I339" s="12"/>
    </row>
    <row r="340" spans="1:9" ht="25.5" x14ac:dyDescent="0.2">
      <c r="A340" s="35" t="str">
        <f>HYPERLINK("https://mississippidhs.jamacloud.com/perspective.req?projectId=53&amp;docId=28265","LSRP-SHRQ-335")</f>
        <v>LSRP-SHRQ-335</v>
      </c>
      <c r="B340" s="8" t="s">
        <v>684</v>
      </c>
      <c r="C340" s="35" t="s">
        <v>401</v>
      </c>
      <c r="D340" s="36" t="s">
        <v>39</v>
      </c>
      <c r="E340" s="37" t="s">
        <v>779</v>
      </c>
      <c r="F340" s="35" t="s">
        <v>545</v>
      </c>
      <c r="G340" s="7"/>
      <c r="H340" s="7"/>
      <c r="I340" s="12"/>
    </row>
    <row r="341" spans="1:9" ht="25.5" x14ac:dyDescent="0.2">
      <c r="A341" s="35" t="str">
        <f>HYPERLINK("https://mississippidhs.jamacloud.com/perspective.req?projectId=53&amp;docId=28266","LSRP-SHRQ-336")</f>
        <v>LSRP-SHRQ-336</v>
      </c>
      <c r="B341" s="8" t="s">
        <v>685</v>
      </c>
      <c r="C341" s="35" t="s">
        <v>401</v>
      </c>
      <c r="D341" s="36" t="s">
        <v>39</v>
      </c>
      <c r="E341" s="37" t="s">
        <v>779</v>
      </c>
      <c r="F341" s="35" t="s">
        <v>545</v>
      </c>
      <c r="G341" s="7"/>
      <c r="H341" s="7"/>
      <c r="I341" s="12"/>
    </row>
    <row r="342" spans="1:9" ht="25.5" x14ac:dyDescent="0.2">
      <c r="A342" s="35" t="str">
        <f>HYPERLINK("https://mississippidhs.jamacloud.com/perspective.req?projectId=53&amp;docId=28267","LSRP-SHRQ-337")</f>
        <v>LSRP-SHRQ-337</v>
      </c>
      <c r="B342" s="8" t="s">
        <v>686</v>
      </c>
      <c r="C342" s="35" t="s">
        <v>401</v>
      </c>
      <c r="D342" s="36" t="s">
        <v>39</v>
      </c>
      <c r="E342" s="37" t="s">
        <v>779</v>
      </c>
      <c r="F342" s="35" t="s">
        <v>545</v>
      </c>
      <c r="G342" s="7"/>
      <c r="H342" s="7"/>
      <c r="I342" s="12"/>
    </row>
    <row r="343" spans="1:9" ht="51" x14ac:dyDescent="0.2">
      <c r="A343" s="35" t="str">
        <f>HYPERLINK("https://mississippidhs.jamacloud.com/perspective.req?projectId=53&amp;docId=28268","LSRP-SHRQ-338")</f>
        <v>LSRP-SHRQ-338</v>
      </c>
      <c r="B343" s="8" t="s">
        <v>687</v>
      </c>
      <c r="C343" s="35" t="s">
        <v>401</v>
      </c>
      <c r="D343" s="36" t="s">
        <v>39</v>
      </c>
      <c r="E343" s="37" t="s">
        <v>779</v>
      </c>
      <c r="F343" s="35" t="s">
        <v>545</v>
      </c>
      <c r="G343" s="7"/>
      <c r="H343" s="7"/>
      <c r="I343" s="12"/>
    </row>
    <row r="344" spans="1:9" ht="25.5" x14ac:dyDescent="0.2">
      <c r="A344" s="35" t="str">
        <f>HYPERLINK("https://mississippidhs.jamacloud.com/perspective.req?projectId=53&amp;docId=28269","LSRP-SHRQ-339")</f>
        <v>LSRP-SHRQ-339</v>
      </c>
      <c r="B344" s="8" t="s">
        <v>688</v>
      </c>
      <c r="C344" s="35" t="s">
        <v>401</v>
      </c>
      <c r="D344" s="36" t="s">
        <v>39</v>
      </c>
      <c r="E344" s="37" t="s">
        <v>779</v>
      </c>
      <c r="F344" s="35" t="s">
        <v>545</v>
      </c>
      <c r="G344" s="7"/>
      <c r="H344" s="7"/>
      <c r="I344" s="12"/>
    </row>
    <row r="345" spans="1:9" ht="25.5" x14ac:dyDescent="0.2">
      <c r="A345" s="35" t="str">
        <f>HYPERLINK("https://mississippidhs.jamacloud.com/perspective.req?projectId=53&amp;docId=28270","LSRP-SHRQ-340")</f>
        <v>LSRP-SHRQ-340</v>
      </c>
      <c r="B345" s="8" t="s">
        <v>689</v>
      </c>
      <c r="C345" s="35" t="s">
        <v>401</v>
      </c>
      <c r="D345" s="36" t="s">
        <v>39</v>
      </c>
      <c r="E345" s="37" t="s">
        <v>779</v>
      </c>
      <c r="F345" s="35" t="s">
        <v>545</v>
      </c>
      <c r="G345" s="7"/>
      <c r="H345" s="7"/>
      <c r="I345" s="12"/>
    </row>
    <row r="346" spans="1:9" ht="25.5" x14ac:dyDescent="0.2">
      <c r="A346" s="35" t="str">
        <f>HYPERLINK("https://mississippidhs.jamacloud.com/perspective.req?projectId=53&amp;docId=28271","LSRP-SHRQ-341")</f>
        <v>LSRP-SHRQ-341</v>
      </c>
      <c r="B346" s="8" t="s">
        <v>690</v>
      </c>
      <c r="C346" s="35" t="s">
        <v>401</v>
      </c>
      <c r="D346" s="36" t="s">
        <v>39</v>
      </c>
      <c r="E346" s="37" t="s">
        <v>779</v>
      </c>
      <c r="F346" s="35" t="s">
        <v>545</v>
      </c>
      <c r="G346" s="7"/>
      <c r="H346" s="7"/>
      <c r="I346" s="12"/>
    </row>
    <row r="347" spans="1:9" ht="25.5" x14ac:dyDescent="0.2">
      <c r="A347" s="35" t="str">
        <f>HYPERLINK("https://mississippidhs.jamacloud.com/perspective.req?projectId=53&amp;docId=28272","LSRP-SHRQ-342")</f>
        <v>LSRP-SHRQ-342</v>
      </c>
      <c r="B347" s="8" t="s">
        <v>691</v>
      </c>
      <c r="C347" s="35" t="s">
        <v>401</v>
      </c>
      <c r="D347" s="36" t="s">
        <v>39</v>
      </c>
      <c r="E347" s="37" t="s">
        <v>779</v>
      </c>
      <c r="F347" s="35" t="s">
        <v>545</v>
      </c>
      <c r="G347" s="7"/>
      <c r="H347" s="7"/>
      <c r="I347" s="12"/>
    </row>
    <row r="348" spans="1:9" ht="25.5" x14ac:dyDescent="0.2">
      <c r="A348" s="35" t="str">
        <f>HYPERLINK("https://mississippidhs.jamacloud.com/perspective.req?projectId=53&amp;docId=28273","LSRP-SHRQ-343")</f>
        <v>LSRP-SHRQ-343</v>
      </c>
      <c r="B348" s="8" t="s">
        <v>692</v>
      </c>
      <c r="C348" s="35" t="s">
        <v>401</v>
      </c>
      <c r="D348" s="36" t="s">
        <v>39</v>
      </c>
      <c r="E348" s="37" t="s">
        <v>779</v>
      </c>
      <c r="F348" s="35" t="s">
        <v>545</v>
      </c>
      <c r="G348" s="7"/>
      <c r="H348" s="7"/>
      <c r="I348" s="12"/>
    </row>
    <row r="349" spans="1:9" ht="25.5" x14ac:dyDescent="0.2">
      <c r="A349" s="35" t="str">
        <f>HYPERLINK("https://mississippidhs.jamacloud.com/perspective.req?projectId=53&amp;docId=28274","LSRP-SHRQ-344")</f>
        <v>LSRP-SHRQ-344</v>
      </c>
      <c r="B349" s="8" t="s">
        <v>693</v>
      </c>
      <c r="C349" s="35" t="s">
        <v>401</v>
      </c>
      <c r="D349" s="36" t="s">
        <v>39</v>
      </c>
      <c r="E349" s="37" t="s">
        <v>779</v>
      </c>
      <c r="F349" s="35" t="s">
        <v>545</v>
      </c>
      <c r="G349" s="7"/>
      <c r="H349" s="7"/>
      <c r="I349" s="12"/>
    </row>
    <row r="350" spans="1:9" ht="25.5" x14ac:dyDescent="0.2">
      <c r="A350" s="35" t="str">
        <f>HYPERLINK("https://mississippidhs.jamacloud.com/perspective.req?projectId=53&amp;docId=28275","LSRP-SHRQ-345")</f>
        <v>LSRP-SHRQ-345</v>
      </c>
      <c r="B350" s="8" t="s">
        <v>694</v>
      </c>
      <c r="C350" s="35" t="s">
        <v>401</v>
      </c>
      <c r="D350" s="36" t="s">
        <v>39</v>
      </c>
      <c r="E350" s="37" t="s">
        <v>779</v>
      </c>
      <c r="F350" s="35" t="s">
        <v>545</v>
      </c>
      <c r="G350" s="7"/>
      <c r="H350" s="7"/>
      <c r="I350" s="12"/>
    </row>
    <row r="351" spans="1:9" ht="38.25" x14ac:dyDescent="0.2">
      <c r="A351" s="35" t="str">
        <f>HYPERLINK("https://mississippidhs.jamacloud.com/perspective.req?projectId=53&amp;docId=28276","LSRP-SHRQ-346")</f>
        <v>LSRP-SHRQ-346</v>
      </c>
      <c r="B351" s="8" t="s">
        <v>695</v>
      </c>
      <c r="C351" s="35" t="s">
        <v>401</v>
      </c>
      <c r="D351" s="36" t="s">
        <v>39</v>
      </c>
      <c r="E351" s="37" t="s">
        <v>779</v>
      </c>
      <c r="F351" s="35" t="s">
        <v>545</v>
      </c>
      <c r="G351" s="7"/>
      <c r="H351" s="7"/>
      <c r="I351" s="12"/>
    </row>
    <row r="352" spans="1:9" ht="38.25" x14ac:dyDescent="0.2">
      <c r="A352" s="35" t="str">
        <f>HYPERLINK("https://mississippidhs.jamacloud.com/perspective.req?projectId=53&amp;docId=28277","LSRP-SHRQ-347")</f>
        <v>LSRP-SHRQ-347</v>
      </c>
      <c r="B352" s="8" t="s">
        <v>696</v>
      </c>
      <c r="C352" s="35" t="s">
        <v>401</v>
      </c>
      <c r="D352" s="36" t="s">
        <v>39</v>
      </c>
      <c r="E352" s="37" t="s">
        <v>779</v>
      </c>
      <c r="F352" s="35" t="s">
        <v>545</v>
      </c>
      <c r="G352" s="7"/>
      <c r="H352" s="7"/>
      <c r="I352" s="12"/>
    </row>
    <row r="353" spans="1:9" ht="25.5" x14ac:dyDescent="0.2">
      <c r="A353" s="35" t="str">
        <f>HYPERLINK("https://mississippidhs.jamacloud.com/perspective.req?projectId=53&amp;docId=28278","LSRP-SHRQ-348")</f>
        <v>LSRP-SHRQ-348</v>
      </c>
      <c r="B353" s="8" t="s">
        <v>697</v>
      </c>
      <c r="C353" s="35" t="s">
        <v>401</v>
      </c>
      <c r="D353" s="36" t="s">
        <v>39</v>
      </c>
      <c r="E353" s="37" t="s">
        <v>779</v>
      </c>
      <c r="F353" s="35" t="s">
        <v>545</v>
      </c>
      <c r="G353" s="7"/>
      <c r="H353" s="7"/>
      <c r="I353" s="12"/>
    </row>
    <row r="354" spans="1:9" ht="38.25" x14ac:dyDescent="0.2">
      <c r="A354" s="35" t="str">
        <f>HYPERLINK("https://mississippidhs.jamacloud.com/perspective.req?projectId=53&amp;docId=28279","LSRP-SHRQ-349")</f>
        <v>LSRP-SHRQ-349</v>
      </c>
      <c r="B354" s="8" t="s">
        <v>698</v>
      </c>
      <c r="C354" s="35" t="s">
        <v>401</v>
      </c>
      <c r="D354" s="36" t="s">
        <v>39</v>
      </c>
      <c r="E354" s="37" t="s">
        <v>779</v>
      </c>
      <c r="F354" s="35" t="s">
        <v>545</v>
      </c>
      <c r="G354" s="7"/>
      <c r="H354" s="7"/>
      <c r="I354" s="12"/>
    </row>
    <row r="355" spans="1:9" ht="38.25" x14ac:dyDescent="0.2">
      <c r="A355" s="35" t="str">
        <f>HYPERLINK("https://mississippidhs.jamacloud.com/perspective.req?projectId=53&amp;docId=28280","LSRP-SHRQ-350")</f>
        <v>LSRP-SHRQ-350</v>
      </c>
      <c r="B355" s="8" t="s">
        <v>699</v>
      </c>
      <c r="C355" s="35" t="s">
        <v>401</v>
      </c>
      <c r="D355" s="36" t="s">
        <v>39</v>
      </c>
      <c r="E355" s="37" t="s">
        <v>779</v>
      </c>
      <c r="F355" s="35" t="s">
        <v>545</v>
      </c>
      <c r="G355" s="7"/>
      <c r="H355" s="7"/>
      <c r="I355" s="12"/>
    </row>
    <row r="356" spans="1:9" ht="25.5" x14ac:dyDescent="0.2">
      <c r="A356" s="35" t="str">
        <f>HYPERLINK("https://mississippidhs.jamacloud.com/perspective.req?projectId=53&amp;docId=28281","LSRP-SHRQ-351")</f>
        <v>LSRP-SHRQ-351</v>
      </c>
      <c r="B356" s="8" t="s">
        <v>700</v>
      </c>
      <c r="C356" s="35" t="s">
        <v>401</v>
      </c>
      <c r="D356" s="36" t="s">
        <v>39</v>
      </c>
      <c r="E356" s="37" t="s">
        <v>779</v>
      </c>
      <c r="F356" s="35" t="s">
        <v>545</v>
      </c>
      <c r="G356" s="7"/>
      <c r="H356" s="7"/>
      <c r="I356" s="12"/>
    </row>
    <row r="357" spans="1:9" ht="25.5" x14ac:dyDescent="0.2">
      <c r="A357" s="35" t="str">
        <f>HYPERLINK("https://mississippidhs.jamacloud.com/perspective.req?projectId=53&amp;docId=28282","LSRP-SHRQ-352")</f>
        <v>LSRP-SHRQ-352</v>
      </c>
      <c r="B357" s="8" t="s">
        <v>701</v>
      </c>
      <c r="C357" s="35" t="s">
        <v>401</v>
      </c>
      <c r="D357" s="36" t="s">
        <v>39</v>
      </c>
      <c r="E357" s="37" t="s">
        <v>779</v>
      </c>
      <c r="F357" s="35" t="s">
        <v>545</v>
      </c>
      <c r="G357" s="7"/>
      <c r="H357" s="7"/>
      <c r="I357" s="12"/>
    </row>
    <row r="358" spans="1:9" ht="25.5" x14ac:dyDescent="0.2">
      <c r="A358" s="35" t="str">
        <f>HYPERLINK("https://mississippidhs.jamacloud.com/perspective.req?projectId=53&amp;docId=28283","LSRP-SHRQ-353")</f>
        <v>LSRP-SHRQ-353</v>
      </c>
      <c r="B358" s="8" t="s">
        <v>702</v>
      </c>
      <c r="C358" s="35" t="s">
        <v>401</v>
      </c>
      <c r="D358" s="36" t="s">
        <v>39</v>
      </c>
      <c r="E358" s="37" t="s">
        <v>779</v>
      </c>
      <c r="F358" s="35" t="s">
        <v>545</v>
      </c>
      <c r="G358" s="7"/>
      <c r="H358" s="7"/>
      <c r="I358" s="12"/>
    </row>
    <row r="359" spans="1:9" ht="38.25" x14ac:dyDescent="0.2">
      <c r="A359" s="35" t="str">
        <f>HYPERLINK("https://mississippidhs.jamacloud.com/perspective.req?projectId=53&amp;docId=28284","LSRP-SHRQ-354")</f>
        <v>LSRP-SHRQ-354</v>
      </c>
      <c r="B359" s="8" t="s">
        <v>703</v>
      </c>
      <c r="C359" s="35" t="s">
        <v>401</v>
      </c>
      <c r="D359" s="36" t="s">
        <v>39</v>
      </c>
      <c r="E359" s="37" t="s">
        <v>779</v>
      </c>
      <c r="F359" s="35" t="s">
        <v>545</v>
      </c>
      <c r="G359" s="7"/>
      <c r="H359" s="7"/>
      <c r="I359" s="12"/>
    </row>
    <row r="360" spans="1:9" ht="25.5" x14ac:dyDescent="0.2">
      <c r="A360" s="35" t="str">
        <f>HYPERLINK("https://mississippidhs.jamacloud.com/perspective.req?projectId=53&amp;docId=28285","LSRP-SHRQ-355")</f>
        <v>LSRP-SHRQ-355</v>
      </c>
      <c r="B360" s="8" t="s">
        <v>704</v>
      </c>
      <c r="C360" s="35" t="s">
        <v>401</v>
      </c>
      <c r="D360" s="36" t="s">
        <v>39</v>
      </c>
      <c r="E360" s="37" t="s">
        <v>779</v>
      </c>
      <c r="F360" s="35" t="s">
        <v>545</v>
      </c>
      <c r="G360" s="7"/>
      <c r="H360" s="7"/>
      <c r="I360" s="12"/>
    </row>
    <row r="361" spans="1:9" ht="25.5" x14ac:dyDescent="0.2">
      <c r="A361" s="35" t="str">
        <f>HYPERLINK("https://mississippidhs.jamacloud.com/perspective.req?projectId=53&amp;docId=28286","LSRP-SHRQ-356")</f>
        <v>LSRP-SHRQ-356</v>
      </c>
      <c r="B361" s="8" t="s">
        <v>705</v>
      </c>
      <c r="C361" s="35" t="s">
        <v>401</v>
      </c>
      <c r="D361" s="36" t="s">
        <v>39</v>
      </c>
      <c r="E361" s="37" t="s">
        <v>779</v>
      </c>
      <c r="F361" s="35" t="s">
        <v>545</v>
      </c>
      <c r="G361" s="7"/>
      <c r="H361" s="7"/>
      <c r="I361" s="12"/>
    </row>
    <row r="362" spans="1:9" ht="25.5" x14ac:dyDescent="0.2">
      <c r="A362" s="35" t="str">
        <f>HYPERLINK("https://mississippidhs.jamacloud.com/perspective.req?projectId=53&amp;docId=28287","LSRP-SHRQ-357")</f>
        <v>LSRP-SHRQ-357</v>
      </c>
      <c r="B362" s="8" t="s">
        <v>706</v>
      </c>
      <c r="C362" s="35" t="s">
        <v>401</v>
      </c>
      <c r="D362" s="36" t="s">
        <v>39</v>
      </c>
      <c r="E362" s="37" t="s">
        <v>779</v>
      </c>
      <c r="F362" s="35" t="s">
        <v>545</v>
      </c>
      <c r="G362" s="7"/>
      <c r="H362" s="7"/>
      <c r="I362" s="12"/>
    </row>
    <row r="363" spans="1:9" ht="25.5" x14ac:dyDescent="0.2">
      <c r="A363" s="35" t="str">
        <f>HYPERLINK("https://mississippidhs.jamacloud.com/perspective.req?projectId=53&amp;docId=28288","LSRP-SHRQ-358")</f>
        <v>LSRP-SHRQ-358</v>
      </c>
      <c r="B363" s="8" t="s">
        <v>707</v>
      </c>
      <c r="C363" s="35" t="s">
        <v>401</v>
      </c>
      <c r="D363" s="36" t="s">
        <v>39</v>
      </c>
      <c r="E363" s="37" t="s">
        <v>779</v>
      </c>
      <c r="F363" s="35" t="s">
        <v>545</v>
      </c>
      <c r="G363" s="7"/>
      <c r="H363" s="7"/>
      <c r="I363" s="12"/>
    </row>
    <row r="364" spans="1:9" ht="25.5" x14ac:dyDescent="0.2">
      <c r="A364" s="35" t="str">
        <f>HYPERLINK("https://mississippidhs.jamacloud.com/perspective.req?projectId=53&amp;docId=28289","LSRP-SHRQ-359")</f>
        <v>LSRP-SHRQ-359</v>
      </c>
      <c r="B364" s="8" t="s">
        <v>708</v>
      </c>
      <c r="C364" s="35" t="s">
        <v>401</v>
      </c>
      <c r="D364" s="36" t="s">
        <v>39</v>
      </c>
      <c r="E364" s="37" t="s">
        <v>779</v>
      </c>
      <c r="F364" s="35" t="s">
        <v>545</v>
      </c>
      <c r="G364" s="7"/>
      <c r="H364" s="7"/>
      <c r="I364" s="12"/>
    </row>
    <row r="365" spans="1:9" ht="25.5" x14ac:dyDescent="0.2">
      <c r="A365" s="35" t="str">
        <f>HYPERLINK("https://mississippidhs.jamacloud.com/perspective.req?projectId=53&amp;docId=28290","LSRP-SHRQ-360")</f>
        <v>LSRP-SHRQ-360</v>
      </c>
      <c r="B365" s="8" t="s">
        <v>709</v>
      </c>
      <c r="C365" s="35" t="s">
        <v>401</v>
      </c>
      <c r="D365" s="36" t="s">
        <v>39</v>
      </c>
      <c r="E365" s="37" t="s">
        <v>779</v>
      </c>
      <c r="F365" s="35" t="s">
        <v>545</v>
      </c>
      <c r="G365" s="7"/>
      <c r="H365" s="7"/>
      <c r="I365" s="12"/>
    </row>
    <row r="366" spans="1:9" ht="25.5" x14ac:dyDescent="0.2">
      <c r="A366" s="35" t="str">
        <f>HYPERLINK("https://mississippidhs.jamacloud.com/perspective.req?projectId=53&amp;docId=28291","LSRP-SHRQ-361")</f>
        <v>LSRP-SHRQ-361</v>
      </c>
      <c r="B366" s="8" t="s">
        <v>710</v>
      </c>
      <c r="C366" s="35" t="s">
        <v>401</v>
      </c>
      <c r="D366" s="36" t="s">
        <v>39</v>
      </c>
      <c r="E366" s="37" t="s">
        <v>779</v>
      </c>
      <c r="F366" s="35" t="s">
        <v>545</v>
      </c>
      <c r="G366" s="7"/>
      <c r="H366" s="7"/>
      <c r="I366" s="12"/>
    </row>
    <row r="367" spans="1:9" ht="25.5" x14ac:dyDescent="0.2">
      <c r="A367" s="35" t="str">
        <f>HYPERLINK("https://mississippidhs.jamacloud.com/perspective.req?projectId=53&amp;docId=28292","LSRP-SHRQ-362")</f>
        <v>LSRP-SHRQ-362</v>
      </c>
      <c r="B367" s="8" t="s">
        <v>711</v>
      </c>
      <c r="C367" s="35" t="s">
        <v>401</v>
      </c>
      <c r="D367" s="36" t="s">
        <v>39</v>
      </c>
      <c r="E367" s="37" t="s">
        <v>779</v>
      </c>
      <c r="F367" s="35" t="s">
        <v>545</v>
      </c>
      <c r="G367" s="7"/>
      <c r="H367" s="7"/>
      <c r="I367" s="12"/>
    </row>
    <row r="368" spans="1:9" ht="38.25" x14ac:dyDescent="0.2">
      <c r="A368" s="35" t="str">
        <f>HYPERLINK("https://mississippidhs.jamacloud.com/perspective.req?projectId=53&amp;docId=28294","LSRP-SHRQ-363")</f>
        <v>LSRP-SHRQ-363</v>
      </c>
      <c r="B368" s="8" t="s">
        <v>712</v>
      </c>
      <c r="C368" s="35" t="s">
        <v>401</v>
      </c>
      <c r="D368" s="36" t="s">
        <v>53</v>
      </c>
      <c r="E368" s="37" t="s">
        <v>779</v>
      </c>
      <c r="F368" s="35" t="s">
        <v>411</v>
      </c>
      <c r="G368" s="7"/>
      <c r="H368" s="7"/>
      <c r="I368" s="12"/>
    </row>
    <row r="369" spans="1:9" ht="25.5" x14ac:dyDescent="0.2">
      <c r="A369" s="35" t="str">
        <f>HYPERLINK("https://mississippidhs.jamacloud.com/perspective.req?projectId=53&amp;docId=28295","LSRP-SHRQ-364")</f>
        <v>LSRP-SHRQ-364</v>
      </c>
      <c r="B369" s="8" t="s">
        <v>713</v>
      </c>
      <c r="C369" s="35" t="s">
        <v>401</v>
      </c>
      <c r="D369" s="36" t="s">
        <v>53</v>
      </c>
      <c r="E369" s="37" t="s">
        <v>779</v>
      </c>
      <c r="F369" s="35" t="s">
        <v>411</v>
      </c>
      <c r="G369" s="7"/>
      <c r="H369" s="7"/>
      <c r="I369" s="12"/>
    </row>
    <row r="370" spans="1:9" ht="38.25" x14ac:dyDescent="0.2">
      <c r="A370" s="35" t="str">
        <f>HYPERLINK("https://mississippidhs.jamacloud.com/perspective.req?projectId=53&amp;docId=28296","LSRP-SHRQ-365")</f>
        <v>LSRP-SHRQ-365</v>
      </c>
      <c r="B370" s="8" t="s">
        <v>714</v>
      </c>
      <c r="C370" s="35" t="s">
        <v>401</v>
      </c>
      <c r="D370" s="36" t="s">
        <v>53</v>
      </c>
      <c r="E370" s="37" t="s">
        <v>779</v>
      </c>
      <c r="F370" s="35" t="s">
        <v>411</v>
      </c>
      <c r="G370" s="7"/>
      <c r="H370" s="7"/>
      <c r="I370" s="12"/>
    </row>
    <row r="371" spans="1:9" ht="89.25" x14ac:dyDescent="0.2">
      <c r="A371" s="35" t="str">
        <f>HYPERLINK("https://mississippidhs.jamacloud.com/perspective.req?projectId=53&amp;docId=28297","LSRP-SHRQ-366")</f>
        <v>LSRP-SHRQ-366</v>
      </c>
      <c r="B371" s="8" t="s">
        <v>715</v>
      </c>
      <c r="C371" s="35" t="s">
        <v>401</v>
      </c>
      <c r="D371" s="36" t="s">
        <v>53</v>
      </c>
      <c r="E371" s="37" t="s">
        <v>779</v>
      </c>
      <c r="F371" s="35" t="s">
        <v>411</v>
      </c>
      <c r="G371" s="7"/>
      <c r="H371" s="7"/>
      <c r="I371" s="12"/>
    </row>
    <row r="372" spans="1:9" ht="25.5" x14ac:dyDescent="0.2">
      <c r="A372" s="35" t="str">
        <f>HYPERLINK("https://mississippidhs.jamacloud.com/perspective.req?projectId=53&amp;docId=28298","LSRP-SHRQ-367")</f>
        <v>LSRP-SHRQ-367</v>
      </c>
      <c r="B372" s="8" t="s">
        <v>716</v>
      </c>
      <c r="C372" s="35" t="s">
        <v>401</v>
      </c>
      <c r="D372" s="36" t="s">
        <v>53</v>
      </c>
      <c r="E372" s="37" t="s">
        <v>779</v>
      </c>
      <c r="F372" s="35" t="s">
        <v>411</v>
      </c>
      <c r="G372" s="7"/>
      <c r="H372" s="7"/>
      <c r="I372" s="12"/>
    </row>
    <row r="373" spans="1:9" ht="25.5" x14ac:dyDescent="0.2">
      <c r="A373" s="35" t="str">
        <f>HYPERLINK("https://mississippidhs.jamacloud.com/perspective.req?projectId=53&amp;docId=28299","LSRP-SHRQ-368")</f>
        <v>LSRP-SHRQ-368</v>
      </c>
      <c r="B373" s="8" t="s">
        <v>717</v>
      </c>
      <c r="C373" s="35" t="s">
        <v>401</v>
      </c>
      <c r="D373" s="36" t="s">
        <v>53</v>
      </c>
      <c r="E373" s="37" t="s">
        <v>779</v>
      </c>
      <c r="F373" s="35" t="s">
        <v>411</v>
      </c>
      <c r="G373" s="7"/>
      <c r="H373" s="7"/>
      <c r="I373" s="12"/>
    </row>
    <row r="374" spans="1:9" ht="38.25" x14ac:dyDescent="0.2">
      <c r="A374" s="35" t="str">
        <f>HYPERLINK("https://mississippidhs.jamacloud.com/perspective.req?projectId=53&amp;docId=28300","LSRP-SHRQ-369")</f>
        <v>LSRP-SHRQ-369</v>
      </c>
      <c r="B374" s="8" t="s">
        <v>718</v>
      </c>
      <c r="C374" s="35" t="s">
        <v>401</v>
      </c>
      <c r="D374" s="36" t="s">
        <v>53</v>
      </c>
      <c r="E374" s="37" t="s">
        <v>779</v>
      </c>
      <c r="F374" s="35" t="s">
        <v>411</v>
      </c>
      <c r="G374" s="7"/>
      <c r="H374" s="7"/>
      <c r="I374" s="12"/>
    </row>
    <row r="375" spans="1:9" ht="51" x14ac:dyDescent="0.2">
      <c r="A375" s="35" t="str">
        <f>HYPERLINK("https://mississippidhs.jamacloud.com/perspective.req?projectId=53&amp;docId=28301","LSRP-SHRQ-370")</f>
        <v>LSRP-SHRQ-370</v>
      </c>
      <c r="B375" s="8" t="s">
        <v>719</v>
      </c>
      <c r="C375" s="35" t="s">
        <v>401</v>
      </c>
      <c r="D375" s="36" t="s">
        <v>53</v>
      </c>
      <c r="E375" s="37" t="s">
        <v>779</v>
      </c>
      <c r="F375" s="35" t="s">
        <v>411</v>
      </c>
      <c r="G375" s="7"/>
      <c r="H375" s="7"/>
      <c r="I375" s="12"/>
    </row>
    <row r="376" spans="1:9" ht="25.5" x14ac:dyDescent="0.2">
      <c r="A376" s="35" t="str">
        <f>HYPERLINK("https://mississippidhs.jamacloud.com/perspective.req?projectId=53&amp;docId=28302","LSRP-SHRQ-371")</f>
        <v>LSRP-SHRQ-371</v>
      </c>
      <c r="B376" s="8" t="s">
        <v>720</v>
      </c>
      <c r="C376" s="35" t="s">
        <v>401</v>
      </c>
      <c r="D376" s="36" t="s">
        <v>53</v>
      </c>
      <c r="E376" s="37" t="s">
        <v>779</v>
      </c>
      <c r="F376" s="35" t="s">
        <v>411</v>
      </c>
      <c r="G376" s="7"/>
      <c r="H376" s="7"/>
      <c r="I376" s="12"/>
    </row>
    <row r="377" spans="1:9" ht="38.25" x14ac:dyDescent="0.2">
      <c r="A377" s="35" t="str">
        <f>HYPERLINK("https://mississippidhs.jamacloud.com/perspective.req?projectId=53&amp;docId=28303","LSRP-SHRQ-372")</f>
        <v>LSRP-SHRQ-372</v>
      </c>
      <c r="B377" s="8" t="s">
        <v>721</v>
      </c>
      <c r="C377" s="35" t="s">
        <v>401</v>
      </c>
      <c r="D377" s="36" t="s">
        <v>53</v>
      </c>
      <c r="E377" s="37" t="s">
        <v>779</v>
      </c>
      <c r="F377" s="35" t="s">
        <v>411</v>
      </c>
      <c r="G377" s="7"/>
      <c r="H377" s="7"/>
      <c r="I377" s="12"/>
    </row>
    <row r="378" spans="1:9" ht="51" x14ac:dyDescent="0.2">
      <c r="A378" s="35" t="str">
        <f>HYPERLINK("https://mississippidhs.jamacloud.com/perspective.req?projectId=53&amp;docId=28304","LSRP-SHRQ-373")</f>
        <v>LSRP-SHRQ-373</v>
      </c>
      <c r="B378" s="8" t="s">
        <v>722</v>
      </c>
      <c r="C378" s="35" t="s">
        <v>401</v>
      </c>
      <c r="D378" s="36" t="s">
        <v>53</v>
      </c>
      <c r="E378" s="37" t="s">
        <v>779</v>
      </c>
      <c r="F378" s="35" t="s">
        <v>411</v>
      </c>
      <c r="G378" s="7"/>
      <c r="H378" s="7"/>
      <c r="I378" s="12"/>
    </row>
    <row r="379" spans="1:9" ht="51" x14ac:dyDescent="0.2">
      <c r="A379" s="35" t="str">
        <f>HYPERLINK("https://mississippidhs.jamacloud.com/perspective.req?projectId=53&amp;docId=28305","LSRP-SHRQ-374")</f>
        <v>LSRP-SHRQ-374</v>
      </c>
      <c r="B379" s="8" t="s">
        <v>723</v>
      </c>
      <c r="C379" s="35" t="s">
        <v>401</v>
      </c>
      <c r="D379" s="36" t="s">
        <v>53</v>
      </c>
      <c r="E379" s="37" t="s">
        <v>779</v>
      </c>
      <c r="F379" s="35" t="s">
        <v>411</v>
      </c>
      <c r="G379" s="7"/>
      <c r="H379" s="7"/>
      <c r="I379" s="12"/>
    </row>
    <row r="380" spans="1:9" ht="38.25" x14ac:dyDescent="0.2">
      <c r="A380" s="35" t="str">
        <f>HYPERLINK("https://mississippidhs.jamacloud.com/perspective.req?projectId=53&amp;docId=28306","LSRP-SHRQ-375")</f>
        <v>LSRP-SHRQ-375</v>
      </c>
      <c r="B380" s="8" t="s">
        <v>724</v>
      </c>
      <c r="C380" s="35" t="s">
        <v>401</v>
      </c>
      <c r="D380" s="36" t="s">
        <v>53</v>
      </c>
      <c r="E380" s="37" t="s">
        <v>779</v>
      </c>
      <c r="F380" s="35" t="s">
        <v>411</v>
      </c>
      <c r="G380" s="7"/>
      <c r="H380" s="7"/>
      <c r="I380" s="12"/>
    </row>
    <row r="381" spans="1:9" ht="25.5" x14ac:dyDescent="0.2">
      <c r="A381" s="35" t="str">
        <f>HYPERLINK("https://mississippidhs.jamacloud.com/perspective.req?projectId=53&amp;docId=28307","LSRP-SHRQ-376")</f>
        <v>LSRP-SHRQ-376</v>
      </c>
      <c r="B381" s="8" t="s">
        <v>725</v>
      </c>
      <c r="C381" s="35" t="s">
        <v>401</v>
      </c>
      <c r="D381" s="36" t="s">
        <v>53</v>
      </c>
      <c r="E381" s="37" t="s">
        <v>779</v>
      </c>
      <c r="F381" s="35" t="s">
        <v>411</v>
      </c>
      <c r="G381" s="7"/>
      <c r="H381" s="7"/>
      <c r="I381" s="12"/>
    </row>
    <row r="382" spans="1:9" ht="25.5" x14ac:dyDescent="0.2">
      <c r="A382" s="35" t="str">
        <f>HYPERLINK("https://mississippidhs.jamacloud.com/perspective.req?projectId=53&amp;docId=28308","LSRP-SHRQ-377")</f>
        <v>LSRP-SHRQ-377</v>
      </c>
      <c r="B382" s="8" t="s">
        <v>726</v>
      </c>
      <c r="C382" s="35" t="s">
        <v>401</v>
      </c>
      <c r="D382" s="36" t="s">
        <v>53</v>
      </c>
      <c r="E382" s="37" t="s">
        <v>779</v>
      </c>
      <c r="F382" s="35" t="s">
        <v>411</v>
      </c>
      <c r="G382" s="7"/>
      <c r="H382" s="7"/>
      <c r="I382" s="12"/>
    </row>
    <row r="383" spans="1:9" ht="25.5" x14ac:dyDescent="0.2">
      <c r="A383" s="35" t="str">
        <f>HYPERLINK("https://mississippidhs.jamacloud.com/perspective.req?projectId=53&amp;docId=28309","LSRP-SHRQ-378")</f>
        <v>LSRP-SHRQ-378</v>
      </c>
      <c r="B383" s="8" t="s">
        <v>727</v>
      </c>
      <c r="C383" s="35" t="s">
        <v>401</v>
      </c>
      <c r="D383" s="36" t="s">
        <v>53</v>
      </c>
      <c r="E383" s="37" t="s">
        <v>779</v>
      </c>
      <c r="F383" s="35" t="s">
        <v>411</v>
      </c>
      <c r="G383" s="7"/>
      <c r="H383" s="7"/>
      <c r="I383" s="12"/>
    </row>
    <row r="384" spans="1:9" ht="25.5" x14ac:dyDescent="0.2">
      <c r="A384" s="35" t="str">
        <f>HYPERLINK("https://mississippidhs.jamacloud.com/perspective.req?projectId=53&amp;docId=28310","LSRP-SHRQ-379")</f>
        <v>LSRP-SHRQ-379</v>
      </c>
      <c r="B384" s="8" t="s">
        <v>728</v>
      </c>
      <c r="C384" s="35" t="s">
        <v>401</v>
      </c>
      <c r="D384" s="36" t="s">
        <v>53</v>
      </c>
      <c r="E384" s="37" t="s">
        <v>779</v>
      </c>
      <c r="F384" s="35" t="s">
        <v>411</v>
      </c>
      <c r="G384" s="7"/>
      <c r="H384" s="7"/>
      <c r="I384" s="12"/>
    </row>
    <row r="385" spans="1:9" ht="38.25" x14ac:dyDescent="0.2">
      <c r="A385" s="35" t="str">
        <f>HYPERLINK("https://mississippidhs.jamacloud.com/perspective.req?projectId=53&amp;docId=28311","LSRP-SHRQ-380")</f>
        <v>LSRP-SHRQ-380</v>
      </c>
      <c r="B385" s="8" t="s">
        <v>729</v>
      </c>
      <c r="C385" s="35" t="s">
        <v>401</v>
      </c>
      <c r="D385" s="36" t="s">
        <v>53</v>
      </c>
      <c r="E385" s="37" t="s">
        <v>779</v>
      </c>
      <c r="F385" s="35" t="s">
        <v>411</v>
      </c>
      <c r="G385" s="7"/>
      <c r="H385" s="7"/>
      <c r="I385" s="12"/>
    </row>
    <row r="386" spans="1:9" ht="25.5" x14ac:dyDescent="0.2">
      <c r="A386" s="35" t="str">
        <f>HYPERLINK("https://mississippidhs.jamacloud.com/perspective.req?projectId=53&amp;docId=28312","LSRP-SHRQ-381")</f>
        <v>LSRP-SHRQ-381</v>
      </c>
      <c r="B386" s="8" t="s">
        <v>730</v>
      </c>
      <c r="C386" s="35" t="s">
        <v>401</v>
      </c>
      <c r="D386" s="36" t="s">
        <v>53</v>
      </c>
      <c r="E386" s="37" t="s">
        <v>779</v>
      </c>
      <c r="F386" s="35" t="s">
        <v>411</v>
      </c>
      <c r="G386" s="7"/>
      <c r="H386" s="7"/>
      <c r="I386" s="12"/>
    </row>
    <row r="387" spans="1:9" ht="63.75" x14ac:dyDescent="0.2">
      <c r="A387" s="35" t="str">
        <f>HYPERLINK("https://mississippidhs.jamacloud.com/perspective.req?projectId=53&amp;docId=28313","LSRP-SHRQ-382")</f>
        <v>LSRP-SHRQ-382</v>
      </c>
      <c r="B387" s="8" t="s">
        <v>731</v>
      </c>
      <c r="C387" s="35" t="s">
        <v>401</v>
      </c>
      <c r="D387" s="36" t="s">
        <v>53</v>
      </c>
      <c r="E387" s="37" t="s">
        <v>779</v>
      </c>
      <c r="F387" s="35" t="s">
        <v>411</v>
      </c>
      <c r="G387" s="7"/>
      <c r="H387" s="7"/>
      <c r="I387" s="12"/>
    </row>
    <row r="388" spans="1:9" ht="25.5" x14ac:dyDescent="0.2">
      <c r="A388" s="35" t="str">
        <f>HYPERLINK("https://mississippidhs.jamacloud.com/perspective.req?projectId=53&amp;docId=28314","LSRP-SHRQ-383")</f>
        <v>LSRP-SHRQ-383</v>
      </c>
      <c r="B388" s="8" t="s">
        <v>732</v>
      </c>
      <c r="C388" s="35" t="s">
        <v>401</v>
      </c>
      <c r="D388" s="36" t="s">
        <v>53</v>
      </c>
      <c r="E388" s="37" t="s">
        <v>779</v>
      </c>
      <c r="F388" s="35" t="s">
        <v>411</v>
      </c>
      <c r="G388" s="7"/>
      <c r="H388" s="7"/>
      <c r="I388" s="12"/>
    </row>
    <row r="389" spans="1:9" ht="38.25" x14ac:dyDescent="0.2">
      <c r="A389" s="35" t="str">
        <f>HYPERLINK("https://mississippidhs.jamacloud.com/perspective.req?projectId=53&amp;docId=28315","LSRP-SHRQ-384")</f>
        <v>LSRP-SHRQ-384</v>
      </c>
      <c r="B389" s="8" t="s">
        <v>733</v>
      </c>
      <c r="C389" s="35" t="s">
        <v>401</v>
      </c>
      <c r="D389" s="36" t="s">
        <v>53</v>
      </c>
      <c r="E389" s="37" t="s">
        <v>779</v>
      </c>
      <c r="F389" s="35" t="s">
        <v>411</v>
      </c>
      <c r="G389" s="7"/>
      <c r="H389" s="7"/>
      <c r="I389" s="12"/>
    </row>
    <row r="390" spans="1:9" ht="38.25" x14ac:dyDescent="0.2">
      <c r="A390" s="35" t="str">
        <f>HYPERLINK("https://mississippidhs.jamacloud.com/perspective.req?projectId=53&amp;docId=28316","LSRP-SHRQ-385")</f>
        <v>LSRP-SHRQ-385</v>
      </c>
      <c r="B390" s="8" t="s">
        <v>734</v>
      </c>
      <c r="C390" s="35" t="s">
        <v>401</v>
      </c>
      <c r="D390" s="36" t="s">
        <v>53</v>
      </c>
      <c r="E390" s="37" t="s">
        <v>779</v>
      </c>
      <c r="F390" s="35" t="s">
        <v>411</v>
      </c>
      <c r="G390" s="7"/>
      <c r="H390" s="7"/>
      <c r="I390" s="12"/>
    </row>
    <row r="391" spans="1:9" ht="51" x14ac:dyDescent="0.2">
      <c r="A391" s="35" t="str">
        <f>HYPERLINK("https://mississippidhs.jamacloud.com/perspective.req?projectId=53&amp;docId=28317","LSRP-SHRQ-386")</f>
        <v>LSRP-SHRQ-386</v>
      </c>
      <c r="B391" s="8" t="s">
        <v>735</v>
      </c>
      <c r="C391" s="35" t="s">
        <v>401</v>
      </c>
      <c r="D391" s="36" t="s">
        <v>53</v>
      </c>
      <c r="E391" s="37" t="s">
        <v>779</v>
      </c>
      <c r="F391" s="35" t="s">
        <v>411</v>
      </c>
      <c r="G391" s="7"/>
      <c r="H391" s="7"/>
      <c r="I391" s="12"/>
    </row>
    <row r="392" spans="1:9" ht="25.5" x14ac:dyDescent="0.2">
      <c r="A392" s="35" t="str">
        <f>HYPERLINK("https://mississippidhs.jamacloud.com/perspective.req?projectId=53&amp;docId=28318","LSRP-SHRQ-387")</f>
        <v>LSRP-SHRQ-387</v>
      </c>
      <c r="B392" s="8" t="s">
        <v>736</v>
      </c>
      <c r="C392" s="35" t="s">
        <v>401</v>
      </c>
      <c r="D392" s="36" t="s">
        <v>53</v>
      </c>
      <c r="E392" s="37" t="s">
        <v>779</v>
      </c>
      <c r="F392" s="35" t="s">
        <v>411</v>
      </c>
      <c r="G392" s="7"/>
      <c r="H392" s="7"/>
      <c r="I392" s="12"/>
    </row>
    <row r="393" spans="1:9" ht="63.75" x14ac:dyDescent="0.2">
      <c r="A393" s="35" t="str">
        <f>HYPERLINK("https://mississippidhs.jamacloud.com/perspective.req?projectId=53&amp;docId=28319","LSRP-SHRQ-388")</f>
        <v>LSRP-SHRQ-388</v>
      </c>
      <c r="B393" s="8" t="s">
        <v>737</v>
      </c>
      <c r="C393" s="35" t="s">
        <v>401</v>
      </c>
      <c r="D393" s="36" t="s">
        <v>53</v>
      </c>
      <c r="E393" s="37" t="s">
        <v>779</v>
      </c>
      <c r="F393" s="35" t="s">
        <v>411</v>
      </c>
      <c r="G393" s="7"/>
      <c r="H393" s="7"/>
      <c r="I393" s="12"/>
    </row>
    <row r="394" spans="1:9" ht="63.75" x14ac:dyDescent="0.2">
      <c r="A394" s="35" t="str">
        <f>HYPERLINK("https://mississippidhs.jamacloud.com/perspective.req?projectId=53&amp;docId=28320","LSRP-SHRQ-389")</f>
        <v>LSRP-SHRQ-389</v>
      </c>
      <c r="B394" s="8" t="s">
        <v>738</v>
      </c>
      <c r="C394" s="35" t="s">
        <v>401</v>
      </c>
      <c r="D394" s="36" t="s">
        <v>53</v>
      </c>
      <c r="E394" s="37" t="s">
        <v>779</v>
      </c>
      <c r="F394" s="35" t="s">
        <v>411</v>
      </c>
      <c r="G394" s="7"/>
      <c r="H394" s="7"/>
      <c r="I394" s="12"/>
    </row>
    <row r="395" spans="1:9" ht="38.25" x14ac:dyDescent="0.2">
      <c r="A395" s="35" t="str">
        <f>HYPERLINK("https://mississippidhs.jamacloud.com/perspective.req?projectId=53&amp;docId=28321","LSRP-SHRQ-390")</f>
        <v>LSRP-SHRQ-390</v>
      </c>
      <c r="B395" s="8" t="s">
        <v>739</v>
      </c>
      <c r="C395" s="35" t="s">
        <v>401</v>
      </c>
      <c r="D395" s="36" t="s">
        <v>53</v>
      </c>
      <c r="E395" s="37" t="s">
        <v>779</v>
      </c>
      <c r="F395" s="35" t="s">
        <v>411</v>
      </c>
      <c r="G395" s="7"/>
      <c r="H395" s="7"/>
      <c r="I395" s="12"/>
    </row>
    <row r="396" spans="1:9" ht="25.5" x14ac:dyDescent="0.2">
      <c r="A396" s="35" t="str">
        <f>HYPERLINK("https://mississippidhs.jamacloud.com/perspective.req?projectId=53&amp;docId=28322","LSRP-SHRQ-391")</f>
        <v>LSRP-SHRQ-391</v>
      </c>
      <c r="B396" s="8" t="s">
        <v>740</v>
      </c>
      <c r="C396" s="35" t="s">
        <v>401</v>
      </c>
      <c r="D396" s="36" t="s">
        <v>53</v>
      </c>
      <c r="E396" s="37" t="s">
        <v>779</v>
      </c>
      <c r="F396" s="35" t="s">
        <v>411</v>
      </c>
      <c r="G396" s="7"/>
      <c r="H396" s="7"/>
      <c r="I396" s="12"/>
    </row>
    <row r="397" spans="1:9" ht="25.5" x14ac:dyDescent="0.2">
      <c r="A397" s="35" t="str">
        <f>HYPERLINK("https://mississippidhs.jamacloud.com/perspective.req?projectId=53&amp;docId=28323","LSRP-SHRQ-392")</f>
        <v>LSRP-SHRQ-392</v>
      </c>
      <c r="B397" s="8" t="s">
        <v>741</v>
      </c>
      <c r="C397" s="35" t="s">
        <v>401</v>
      </c>
      <c r="D397" s="36" t="s">
        <v>53</v>
      </c>
      <c r="E397" s="37" t="s">
        <v>779</v>
      </c>
      <c r="F397" s="35" t="s">
        <v>411</v>
      </c>
      <c r="G397" s="7"/>
      <c r="H397" s="7"/>
      <c r="I397" s="12"/>
    </row>
    <row r="398" spans="1:9" ht="25.5" x14ac:dyDescent="0.2">
      <c r="A398" s="35" t="str">
        <f>HYPERLINK("https://mississippidhs.jamacloud.com/perspective.req?projectId=53&amp;docId=28324","LSRP-SHRQ-393")</f>
        <v>LSRP-SHRQ-393</v>
      </c>
      <c r="B398" s="8" t="s">
        <v>742</v>
      </c>
      <c r="C398" s="35" t="s">
        <v>401</v>
      </c>
      <c r="D398" s="36" t="s">
        <v>53</v>
      </c>
      <c r="E398" s="37" t="s">
        <v>779</v>
      </c>
      <c r="F398" s="35" t="s">
        <v>411</v>
      </c>
      <c r="G398" s="7"/>
      <c r="H398" s="7"/>
      <c r="I398" s="12"/>
    </row>
    <row r="399" spans="1:9" ht="25.5" x14ac:dyDescent="0.2">
      <c r="A399" s="35" t="str">
        <f>HYPERLINK("https://mississippidhs.jamacloud.com/perspective.req?projectId=53&amp;docId=28325","LSRP-SHRQ-394")</f>
        <v>LSRP-SHRQ-394</v>
      </c>
      <c r="B399" s="8" t="s">
        <v>743</v>
      </c>
      <c r="C399" s="35" t="s">
        <v>401</v>
      </c>
      <c r="D399" s="36" t="s">
        <v>53</v>
      </c>
      <c r="E399" s="37" t="s">
        <v>779</v>
      </c>
      <c r="F399" s="35" t="s">
        <v>411</v>
      </c>
      <c r="G399" s="7"/>
      <c r="H399" s="7"/>
      <c r="I399" s="12"/>
    </row>
    <row r="400" spans="1:9" ht="63.75" x14ac:dyDescent="0.2">
      <c r="A400" s="35" t="str">
        <f>HYPERLINK("https://mississippidhs.jamacloud.com/perspective.req?projectId=53&amp;docId=28326","LSRP-SHRQ-395")</f>
        <v>LSRP-SHRQ-395</v>
      </c>
      <c r="B400" s="8" t="s">
        <v>744</v>
      </c>
      <c r="C400" s="35" t="s">
        <v>401</v>
      </c>
      <c r="D400" s="36" t="s">
        <v>53</v>
      </c>
      <c r="E400" s="37" t="s">
        <v>779</v>
      </c>
      <c r="F400" s="35" t="s">
        <v>411</v>
      </c>
      <c r="G400" s="7"/>
      <c r="H400" s="7"/>
      <c r="I400" s="12"/>
    </row>
    <row r="401" spans="1:9" ht="63.75" x14ac:dyDescent="0.2">
      <c r="A401" s="35" t="str">
        <f>HYPERLINK("https://mississippidhs.jamacloud.com/perspective.req?projectId=53&amp;docId=28327","LSRP-SHRQ-396")</f>
        <v>LSRP-SHRQ-396</v>
      </c>
      <c r="B401" s="8" t="s">
        <v>745</v>
      </c>
      <c r="C401" s="35" t="s">
        <v>401</v>
      </c>
      <c r="D401" s="36" t="s">
        <v>53</v>
      </c>
      <c r="E401" s="37" t="s">
        <v>779</v>
      </c>
      <c r="F401" s="35" t="s">
        <v>411</v>
      </c>
      <c r="G401" s="7"/>
      <c r="H401" s="7"/>
      <c r="I401" s="12"/>
    </row>
    <row r="402" spans="1:9" ht="51" x14ac:dyDescent="0.2">
      <c r="A402" s="35" t="str">
        <f>HYPERLINK("https://mississippidhs.jamacloud.com/perspective.req?projectId=53&amp;docId=28328","LSRP-SHRQ-397")</f>
        <v>LSRP-SHRQ-397</v>
      </c>
      <c r="B402" s="8" t="s">
        <v>746</v>
      </c>
      <c r="C402" s="35" t="s">
        <v>401</v>
      </c>
      <c r="D402" s="36" t="s">
        <v>53</v>
      </c>
      <c r="E402" s="37" t="s">
        <v>779</v>
      </c>
      <c r="F402" s="35" t="s">
        <v>411</v>
      </c>
      <c r="G402" s="7"/>
      <c r="H402" s="7"/>
      <c r="I402" s="12"/>
    </row>
    <row r="403" spans="1:9" ht="51" x14ac:dyDescent="0.2">
      <c r="A403" s="35" t="str">
        <f>HYPERLINK("https://mississippidhs.jamacloud.com/perspective.req?projectId=53&amp;docId=28329","LSRP-SHRQ-398")</f>
        <v>LSRP-SHRQ-398</v>
      </c>
      <c r="B403" s="8" t="s">
        <v>747</v>
      </c>
      <c r="C403" s="35" t="s">
        <v>401</v>
      </c>
      <c r="D403" s="36" t="s">
        <v>53</v>
      </c>
      <c r="E403" s="37" t="s">
        <v>779</v>
      </c>
      <c r="F403" s="35" t="s">
        <v>411</v>
      </c>
      <c r="G403" s="7"/>
      <c r="H403" s="7"/>
      <c r="I403" s="12"/>
    </row>
    <row r="404" spans="1:9" ht="25.5" x14ac:dyDescent="0.2">
      <c r="A404" s="35" t="str">
        <f>HYPERLINK("https://mississippidhs.jamacloud.com/perspective.req?projectId=53&amp;docId=28330","LSRP-SHRQ-399")</f>
        <v>LSRP-SHRQ-399</v>
      </c>
      <c r="B404" s="8" t="s">
        <v>748</v>
      </c>
      <c r="C404" s="35" t="s">
        <v>401</v>
      </c>
      <c r="D404" s="36" t="s">
        <v>53</v>
      </c>
      <c r="E404" s="37" t="s">
        <v>779</v>
      </c>
      <c r="F404" s="35" t="s">
        <v>411</v>
      </c>
      <c r="G404" s="7"/>
      <c r="H404" s="7"/>
      <c r="I404" s="12"/>
    </row>
    <row r="405" spans="1:9" ht="51" x14ac:dyDescent="0.2">
      <c r="A405" s="35" t="str">
        <f>HYPERLINK("https://mississippidhs.jamacloud.com/perspective.req?projectId=53&amp;docId=28331","LSRP-SHRQ-400")</f>
        <v>LSRP-SHRQ-400</v>
      </c>
      <c r="B405" s="8" t="s">
        <v>749</v>
      </c>
      <c r="C405" s="35" t="s">
        <v>401</v>
      </c>
      <c r="D405" s="36" t="s">
        <v>53</v>
      </c>
      <c r="E405" s="37" t="s">
        <v>779</v>
      </c>
      <c r="F405" s="35" t="s">
        <v>411</v>
      </c>
      <c r="G405" s="7"/>
      <c r="H405" s="7"/>
      <c r="I405" s="12"/>
    </row>
    <row r="406" spans="1:9" ht="51" x14ac:dyDescent="0.2">
      <c r="A406" s="35" t="str">
        <f>HYPERLINK("https://mississippidhs.jamacloud.com/perspective.req?projectId=53&amp;docId=28332","LSRP-SHRQ-401")</f>
        <v>LSRP-SHRQ-401</v>
      </c>
      <c r="B406" s="8" t="s">
        <v>750</v>
      </c>
      <c r="C406" s="35" t="s">
        <v>401</v>
      </c>
      <c r="D406" s="36" t="s">
        <v>53</v>
      </c>
      <c r="E406" s="37" t="s">
        <v>779</v>
      </c>
      <c r="F406" s="35" t="s">
        <v>411</v>
      </c>
      <c r="G406" s="7"/>
      <c r="H406" s="7"/>
      <c r="I406" s="12"/>
    </row>
    <row r="407" spans="1:9" ht="38.25" x14ac:dyDescent="0.2">
      <c r="A407" s="35" t="str">
        <f>HYPERLINK("https://mississippidhs.jamacloud.com/perspective.req?projectId=53&amp;docId=28333","LSRP-SHRQ-402")</f>
        <v>LSRP-SHRQ-402</v>
      </c>
      <c r="B407" s="8" t="s">
        <v>751</v>
      </c>
      <c r="C407" s="35" t="s">
        <v>401</v>
      </c>
      <c r="D407" s="36" t="s">
        <v>53</v>
      </c>
      <c r="E407" s="37" t="s">
        <v>779</v>
      </c>
      <c r="F407" s="35" t="s">
        <v>411</v>
      </c>
      <c r="G407" s="7"/>
      <c r="H407" s="7"/>
      <c r="I407" s="12"/>
    </row>
    <row r="408" spans="1:9" ht="63.75" x14ac:dyDescent="0.2">
      <c r="A408" s="35" t="str">
        <f>HYPERLINK("https://mississippidhs.jamacloud.com/perspective.req?projectId=53&amp;docId=28334","LSRP-SHRQ-403")</f>
        <v>LSRP-SHRQ-403</v>
      </c>
      <c r="B408" s="8" t="s">
        <v>752</v>
      </c>
      <c r="C408" s="35" t="s">
        <v>401</v>
      </c>
      <c r="D408" s="36" t="s">
        <v>53</v>
      </c>
      <c r="E408" s="37" t="s">
        <v>779</v>
      </c>
      <c r="F408" s="35" t="s">
        <v>411</v>
      </c>
      <c r="G408" s="7"/>
      <c r="H408" s="7"/>
      <c r="I408" s="12"/>
    </row>
    <row r="409" spans="1:9" ht="51" x14ac:dyDescent="0.2">
      <c r="A409" s="35" t="str">
        <f>HYPERLINK("https://mississippidhs.jamacloud.com/perspective.req?projectId=53&amp;docId=28335","LSRP-SHRQ-404")</f>
        <v>LSRP-SHRQ-404</v>
      </c>
      <c r="B409" s="8" t="s">
        <v>753</v>
      </c>
      <c r="C409" s="35" t="s">
        <v>401</v>
      </c>
      <c r="D409" s="36" t="s">
        <v>53</v>
      </c>
      <c r="E409" s="37" t="s">
        <v>779</v>
      </c>
      <c r="F409" s="35" t="s">
        <v>411</v>
      </c>
      <c r="G409" s="7"/>
      <c r="H409" s="7"/>
      <c r="I409" s="12"/>
    </row>
    <row r="410" spans="1:9" ht="51" x14ac:dyDescent="0.2">
      <c r="A410" s="35" t="str">
        <f>HYPERLINK("https://mississippidhs.jamacloud.com/perspective.req?projectId=53&amp;docId=28336","LSRP-SHRQ-405")</f>
        <v>LSRP-SHRQ-405</v>
      </c>
      <c r="B410" s="8" t="s">
        <v>754</v>
      </c>
      <c r="C410" s="35" t="s">
        <v>401</v>
      </c>
      <c r="D410" s="36" t="s">
        <v>53</v>
      </c>
      <c r="E410" s="37" t="s">
        <v>779</v>
      </c>
      <c r="F410" s="35" t="s">
        <v>411</v>
      </c>
      <c r="G410" s="7"/>
      <c r="H410" s="7"/>
      <c r="I410" s="12"/>
    </row>
    <row r="411" spans="1:9" ht="25.5" x14ac:dyDescent="0.2">
      <c r="A411" s="35" t="str">
        <f>HYPERLINK("https://mississippidhs.jamacloud.com/perspective.req?projectId=53&amp;docId=28337","LSRP-SHRQ-406")</f>
        <v>LSRP-SHRQ-406</v>
      </c>
      <c r="B411" s="8" t="s">
        <v>755</v>
      </c>
      <c r="C411" s="35" t="s">
        <v>401</v>
      </c>
      <c r="D411" s="36" t="s">
        <v>53</v>
      </c>
      <c r="E411" s="37" t="s">
        <v>779</v>
      </c>
      <c r="F411" s="35" t="s">
        <v>411</v>
      </c>
      <c r="G411" s="7"/>
      <c r="H411" s="7"/>
      <c r="I411" s="12"/>
    </row>
    <row r="412" spans="1:9" ht="25.5" x14ac:dyDescent="0.2">
      <c r="A412" s="35" t="str">
        <f>HYPERLINK("https://mississippidhs.jamacloud.com/perspective.req?projectId=53&amp;docId=28338","LSRP-SHRQ-407")</f>
        <v>LSRP-SHRQ-407</v>
      </c>
      <c r="B412" s="8" t="s">
        <v>756</v>
      </c>
      <c r="C412" s="35" t="s">
        <v>401</v>
      </c>
      <c r="D412" s="36" t="s">
        <v>53</v>
      </c>
      <c r="E412" s="37" t="s">
        <v>779</v>
      </c>
      <c r="F412" s="35" t="s">
        <v>411</v>
      </c>
      <c r="G412" s="7"/>
      <c r="H412" s="7"/>
      <c r="I412" s="12"/>
    </row>
    <row r="413" spans="1:9" ht="25.5" x14ac:dyDescent="0.2">
      <c r="A413" s="35" t="str">
        <f>HYPERLINK("https://mississippidhs.jamacloud.com/perspective.req?projectId=53&amp;docId=28339","LSRP-SHRQ-408")</f>
        <v>LSRP-SHRQ-408</v>
      </c>
      <c r="B413" s="8" t="s">
        <v>757</v>
      </c>
      <c r="C413" s="35" t="s">
        <v>401</v>
      </c>
      <c r="D413" s="36" t="s">
        <v>53</v>
      </c>
      <c r="E413" s="37" t="s">
        <v>779</v>
      </c>
      <c r="F413" s="35" t="s">
        <v>411</v>
      </c>
      <c r="G413" s="7"/>
      <c r="H413" s="7"/>
      <c r="I413" s="12"/>
    </row>
    <row r="414" spans="1:9" ht="38.25" x14ac:dyDescent="0.2">
      <c r="A414" s="35" t="str">
        <f>HYPERLINK("https://mississippidhs.jamacloud.com/perspective.req?projectId=53&amp;docId=28340","LSRP-SHRQ-409")</f>
        <v>LSRP-SHRQ-409</v>
      </c>
      <c r="B414" s="8" t="s">
        <v>758</v>
      </c>
      <c r="C414" s="35" t="s">
        <v>401</v>
      </c>
      <c r="D414" s="36" t="s">
        <v>53</v>
      </c>
      <c r="E414" s="37" t="s">
        <v>779</v>
      </c>
      <c r="F414" s="35" t="s">
        <v>411</v>
      </c>
      <c r="G414" s="7"/>
      <c r="H414" s="7"/>
      <c r="I414" s="12"/>
    </row>
    <row r="415" spans="1:9" ht="38.25" x14ac:dyDescent="0.2">
      <c r="A415" s="35" t="str">
        <f>HYPERLINK("https://mississippidhs.jamacloud.com/perspective.req?projectId=53&amp;docId=28341","LSRP-SHRQ-410")</f>
        <v>LSRP-SHRQ-410</v>
      </c>
      <c r="B415" s="8" t="s">
        <v>759</v>
      </c>
      <c r="C415" s="35" t="s">
        <v>401</v>
      </c>
      <c r="D415" s="36" t="s">
        <v>53</v>
      </c>
      <c r="E415" s="37" t="s">
        <v>779</v>
      </c>
      <c r="F415" s="35" t="s">
        <v>411</v>
      </c>
      <c r="G415" s="7"/>
      <c r="H415" s="7"/>
      <c r="I415" s="12"/>
    </row>
    <row r="416" spans="1:9" ht="25.5" x14ac:dyDescent="0.2">
      <c r="A416" s="35" t="str">
        <f>HYPERLINK("https://mississippidhs.jamacloud.com/perspective.req?projectId=53&amp;docId=28342","LSRP-SHRQ-411")</f>
        <v>LSRP-SHRQ-411</v>
      </c>
      <c r="B416" s="8" t="s">
        <v>760</v>
      </c>
      <c r="C416" s="35" t="s">
        <v>401</v>
      </c>
      <c r="D416" s="36" t="s">
        <v>53</v>
      </c>
      <c r="E416" s="37" t="s">
        <v>779</v>
      </c>
      <c r="F416" s="35" t="s">
        <v>411</v>
      </c>
      <c r="G416" s="7"/>
      <c r="H416" s="7"/>
      <c r="I416" s="12"/>
    </row>
    <row r="417" spans="1:9" ht="51" x14ac:dyDescent="0.2">
      <c r="A417" s="35" t="str">
        <f>HYPERLINK("https://mississippidhs.jamacloud.com/perspective.req?projectId=53&amp;docId=28343","LSRP-SHRQ-412")</f>
        <v>LSRP-SHRQ-412</v>
      </c>
      <c r="B417" s="8" t="s">
        <v>761</v>
      </c>
      <c r="C417" s="35" t="s">
        <v>401</v>
      </c>
      <c r="D417" s="36" t="s">
        <v>53</v>
      </c>
      <c r="E417" s="37" t="s">
        <v>779</v>
      </c>
      <c r="F417" s="35" t="s">
        <v>411</v>
      </c>
      <c r="G417" s="7"/>
      <c r="H417" s="7"/>
      <c r="I417" s="12"/>
    </row>
    <row r="418" spans="1:9" ht="51" x14ac:dyDescent="0.2">
      <c r="A418" s="35" t="str">
        <f>HYPERLINK("https://mississippidhs.jamacloud.com/perspective.req?projectId=53&amp;docId=28344","LSRP-SHRQ-413")</f>
        <v>LSRP-SHRQ-413</v>
      </c>
      <c r="B418" s="8" t="s">
        <v>762</v>
      </c>
      <c r="C418" s="35" t="s">
        <v>401</v>
      </c>
      <c r="D418" s="36" t="s">
        <v>53</v>
      </c>
      <c r="E418" s="37" t="s">
        <v>779</v>
      </c>
      <c r="F418" s="35" t="s">
        <v>411</v>
      </c>
      <c r="G418" s="7"/>
      <c r="H418" s="7"/>
      <c r="I418" s="12"/>
    </row>
    <row r="419" spans="1:9" ht="38.25" x14ac:dyDescent="0.2">
      <c r="A419" s="35" t="str">
        <f>HYPERLINK("https://mississippidhs.jamacloud.com/perspective.req?projectId=53&amp;docId=28345","LSRP-SHRQ-414")</f>
        <v>LSRP-SHRQ-414</v>
      </c>
      <c r="B419" s="8" t="s">
        <v>763</v>
      </c>
      <c r="C419" s="35" t="s">
        <v>401</v>
      </c>
      <c r="D419" s="36" t="s">
        <v>53</v>
      </c>
      <c r="E419" s="37" t="s">
        <v>779</v>
      </c>
      <c r="F419" s="35" t="s">
        <v>411</v>
      </c>
      <c r="G419" s="7"/>
      <c r="H419" s="7"/>
      <c r="I419" s="12"/>
    </row>
    <row r="420" spans="1:9" ht="38.25" x14ac:dyDescent="0.2">
      <c r="A420" s="35" t="str">
        <f>HYPERLINK("https://mississippidhs.jamacloud.com/perspective.req?projectId=53&amp;docId=28346","LSRP-SHRQ-415")</f>
        <v>LSRP-SHRQ-415</v>
      </c>
      <c r="B420" s="8" t="s">
        <v>764</v>
      </c>
      <c r="C420" s="35" t="s">
        <v>401</v>
      </c>
      <c r="D420" s="36" t="s">
        <v>53</v>
      </c>
      <c r="E420" s="37" t="s">
        <v>779</v>
      </c>
      <c r="F420" s="35" t="s">
        <v>411</v>
      </c>
      <c r="G420" s="7"/>
      <c r="H420" s="7"/>
      <c r="I420" s="12"/>
    </row>
    <row r="421" spans="1:9" ht="51" x14ac:dyDescent="0.2">
      <c r="A421" s="35" t="str">
        <f>HYPERLINK("https://mississippidhs.jamacloud.com/perspective.req?projectId=53&amp;docId=28347","LSRP-SHRQ-416")</f>
        <v>LSRP-SHRQ-416</v>
      </c>
      <c r="B421" s="8" t="s">
        <v>765</v>
      </c>
      <c r="C421" s="35" t="s">
        <v>401</v>
      </c>
      <c r="D421" s="36" t="s">
        <v>53</v>
      </c>
      <c r="E421" s="37" t="s">
        <v>779</v>
      </c>
      <c r="F421" s="35" t="s">
        <v>411</v>
      </c>
      <c r="G421" s="7"/>
      <c r="H421" s="7"/>
      <c r="I421" s="12"/>
    </row>
    <row r="422" spans="1:9" ht="38.25" x14ac:dyDescent="0.2">
      <c r="A422" s="35" t="str">
        <f>HYPERLINK("https://mississippidhs.jamacloud.com/perspective.req?projectId=53&amp;docId=28348","LSRP-SHRQ-417")</f>
        <v>LSRP-SHRQ-417</v>
      </c>
      <c r="B422" s="8" t="s">
        <v>766</v>
      </c>
      <c r="C422" s="35" t="s">
        <v>401</v>
      </c>
      <c r="D422" s="36" t="s">
        <v>53</v>
      </c>
      <c r="E422" s="37" t="s">
        <v>779</v>
      </c>
      <c r="F422" s="35" t="s">
        <v>411</v>
      </c>
      <c r="G422" s="7"/>
      <c r="H422" s="7"/>
      <c r="I422" s="12"/>
    </row>
    <row r="423" spans="1:9" ht="38.25" x14ac:dyDescent="0.2">
      <c r="A423" s="35" t="str">
        <f>HYPERLINK("https://mississippidhs.jamacloud.com/perspective.req?projectId=53&amp;docId=28349","LSRP-SHRQ-418")</f>
        <v>LSRP-SHRQ-418</v>
      </c>
      <c r="B423" s="8" t="s">
        <v>767</v>
      </c>
      <c r="C423" s="35" t="s">
        <v>401</v>
      </c>
      <c r="D423" s="36" t="s">
        <v>53</v>
      </c>
      <c r="E423" s="37" t="s">
        <v>779</v>
      </c>
      <c r="F423" s="35" t="s">
        <v>411</v>
      </c>
      <c r="G423" s="7"/>
      <c r="H423" s="7"/>
      <c r="I423" s="12"/>
    </row>
    <row r="424" spans="1:9" ht="38.25" x14ac:dyDescent="0.2">
      <c r="A424" s="35" t="str">
        <f>HYPERLINK("https://mississippidhs.jamacloud.com/perspective.req?projectId=53&amp;docId=28350","LSRP-SHRQ-419")</f>
        <v>LSRP-SHRQ-419</v>
      </c>
      <c r="B424" s="8" t="s">
        <v>768</v>
      </c>
      <c r="C424" s="35" t="s">
        <v>401</v>
      </c>
      <c r="D424" s="36" t="s">
        <v>53</v>
      </c>
      <c r="E424" s="37" t="s">
        <v>779</v>
      </c>
      <c r="F424" s="35" t="s">
        <v>411</v>
      </c>
      <c r="G424" s="7"/>
      <c r="H424" s="7"/>
      <c r="I424" s="12"/>
    </row>
    <row r="425" spans="1:9" ht="38.25" x14ac:dyDescent="0.2">
      <c r="A425" s="35" t="str">
        <f>HYPERLINK("https://mississippidhs.jamacloud.com/perspective.req?projectId=53&amp;docId=28351","LSRP-SHRQ-420")</f>
        <v>LSRP-SHRQ-420</v>
      </c>
      <c r="B425" s="8" t="s">
        <v>769</v>
      </c>
      <c r="C425" s="35" t="s">
        <v>401</v>
      </c>
      <c r="D425" s="36" t="s">
        <v>53</v>
      </c>
      <c r="E425" s="37" t="s">
        <v>779</v>
      </c>
      <c r="F425" s="35" t="s">
        <v>411</v>
      </c>
      <c r="G425" s="7"/>
      <c r="H425" s="7"/>
      <c r="I425" s="12"/>
    </row>
    <row r="426" spans="1:9" ht="63.75" x14ac:dyDescent="0.2">
      <c r="A426" s="35" t="str">
        <f>HYPERLINK("https://mississippidhs.jamacloud.com/perspective.req?projectId=53&amp;docId=28352","LSRP-SHRQ-421")</f>
        <v>LSRP-SHRQ-421</v>
      </c>
      <c r="B426" s="8" t="s">
        <v>770</v>
      </c>
      <c r="C426" s="35" t="s">
        <v>401</v>
      </c>
      <c r="D426" s="36" t="s">
        <v>53</v>
      </c>
      <c r="E426" s="37" t="s">
        <v>779</v>
      </c>
      <c r="F426" s="35" t="s">
        <v>411</v>
      </c>
      <c r="G426" s="7"/>
      <c r="H426" s="7"/>
      <c r="I426" s="12"/>
    </row>
    <row r="427" spans="1:9" ht="51" x14ac:dyDescent="0.2">
      <c r="A427" s="35" t="str">
        <f>HYPERLINK("https://mississippidhs.jamacloud.com/perspective.req?projectId=53&amp;docId=28353","LSRP-SHRQ-422")</f>
        <v>LSRP-SHRQ-422</v>
      </c>
      <c r="B427" s="8" t="s">
        <v>771</v>
      </c>
      <c r="C427" s="35" t="s">
        <v>401</v>
      </c>
      <c r="D427" s="36" t="s">
        <v>53</v>
      </c>
      <c r="E427" s="37" t="s">
        <v>779</v>
      </c>
      <c r="F427" s="35" t="s">
        <v>411</v>
      </c>
      <c r="G427" s="7"/>
      <c r="H427" s="7"/>
      <c r="I427" s="12"/>
    </row>
    <row r="428" spans="1:9" ht="51" x14ac:dyDescent="0.2">
      <c r="A428" s="35" t="str">
        <f>HYPERLINK("https://mississippidhs.jamacloud.com/perspective.req?projectId=53&amp;docId=28354","LSRP-SHRQ-423")</f>
        <v>LSRP-SHRQ-423</v>
      </c>
      <c r="B428" s="8" t="s">
        <v>772</v>
      </c>
      <c r="C428" s="35" t="s">
        <v>401</v>
      </c>
      <c r="D428" s="36" t="s">
        <v>53</v>
      </c>
      <c r="E428" s="37" t="s">
        <v>779</v>
      </c>
      <c r="F428" s="35" t="s">
        <v>411</v>
      </c>
      <c r="G428" s="7"/>
      <c r="H428" s="7"/>
      <c r="I428" s="12"/>
    </row>
    <row r="429" spans="1:9" ht="25.5" x14ac:dyDescent="0.2">
      <c r="A429" s="35" t="str">
        <f>HYPERLINK("https://mississippidhs.jamacloud.com/perspective.req?projectId=53&amp;docId=28355","LSRP-SHRQ-424")</f>
        <v>LSRP-SHRQ-424</v>
      </c>
      <c r="B429" s="8" t="s">
        <v>773</v>
      </c>
      <c r="C429" s="35" t="s">
        <v>401</v>
      </c>
      <c r="D429" s="36" t="s">
        <v>53</v>
      </c>
      <c r="E429" s="37" t="s">
        <v>779</v>
      </c>
      <c r="F429" s="35" t="s">
        <v>411</v>
      </c>
      <c r="G429" s="7"/>
      <c r="H429" s="7"/>
      <c r="I429" s="12"/>
    </row>
    <row r="430" spans="1:9" ht="51" x14ac:dyDescent="0.2">
      <c r="A430" s="35" t="str">
        <f>HYPERLINK("https://mississippidhs.jamacloud.com/perspective.req?projectId=53&amp;docId=28356","LSRP-SHRQ-425")</f>
        <v>LSRP-SHRQ-425</v>
      </c>
      <c r="B430" s="8" t="s">
        <v>774</v>
      </c>
      <c r="C430" s="35" t="s">
        <v>401</v>
      </c>
      <c r="D430" s="36" t="s">
        <v>53</v>
      </c>
      <c r="E430" s="37" t="s">
        <v>779</v>
      </c>
      <c r="F430" s="35" t="s">
        <v>411</v>
      </c>
      <c r="G430" s="7"/>
      <c r="H430" s="7"/>
      <c r="I430" s="12"/>
    </row>
    <row r="431" spans="1:9" ht="63.75" x14ac:dyDescent="0.2">
      <c r="A431" s="35" t="str">
        <f>HYPERLINK("https://mississippidhs.jamacloud.com/perspective.req?projectId=53&amp;docId=28357","LSRP-SHRQ-426")</f>
        <v>LSRP-SHRQ-426</v>
      </c>
      <c r="B431" s="8" t="s">
        <v>775</v>
      </c>
      <c r="C431" s="35" t="s">
        <v>401</v>
      </c>
      <c r="D431" s="36" t="s">
        <v>53</v>
      </c>
      <c r="E431" s="37" t="s">
        <v>779</v>
      </c>
      <c r="F431" s="35" t="s">
        <v>411</v>
      </c>
      <c r="G431" s="7"/>
      <c r="H431" s="7"/>
      <c r="I431" s="12"/>
    </row>
    <row r="432" spans="1:9" ht="25.5" x14ac:dyDescent="0.2">
      <c r="A432" s="35" t="str">
        <f>HYPERLINK("https://mississippidhs.jamacloud.com/perspective.req?projectId=53&amp;docId=28358","LSRP-SHRQ-427")</f>
        <v>LSRP-SHRQ-427</v>
      </c>
      <c r="B432" s="8" t="s">
        <v>776</v>
      </c>
      <c r="C432" s="35" t="s">
        <v>401</v>
      </c>
      <c r="D432" s="36" t="s">
        <v>53</v>
      </c>
      <c r="E432" s="37" t="s">
        <v>779</v>
      </c>
      <c r="F432" s="35" t="s">
        <v>411</v>
      </c>
      <c r="G432" s="7"/>
      <c r="H432" s="7"/>
      <c r="I432" s="12"/>
    </row>
    <row r="433" spans="1:9" ht="25.5" x14ac:dyDescent="0.2">
      <c r="A433" s="35" t="str">
        <f>HYPERLINK("https://mississippidhs.jamacloud.com/perspective.req?projectId=53&amp;docId=28359","LSRP-SHRQ-428")</f>
        <v>LSRP-SHRQ-428</v>
      </c>
      <c r="B433" s="8" t="s">
        <v>777</v>
      </c>
      <c r="C433" s="35" t="s">
        <v>401</v>
      </c>
      <c r="D433" s="36" t="s">
        <v>53</v>
      </c>
      <c r="E433" s="37" t="s">
        <v>779</v>
      </c>
      <c r="F433" s="35" t="s">
        <v>411</v>
      </c>
      <c r="G433" s="7"/>
      <c r="H433" s="7"/>
      <c r="I433" s="12"/>
    </row>
    <row r="434" spans="1:9" ht="51" x14ac:dyDescent="0.2">
      <c r="A434" s="35" t="str">
        <f>HYPERLINK("https://mississippidhs.jamacloud.com/perspective.req?projectId=53&amp;docId=28360","LSRP-SHRQ-429")</f>
        <v>LSRP-SHRQ-429</v>
      </c>
      <c r="B434" s="8" t="s">
        <v>778</v>
      </c>
      <c r="C434" s="35" t="s">
        <v>401</v>
      </c>
      <c r="D434" s="36" t="s">
        <v>53</v>
      </c>
      <c r="E434" s="37" t="s">
        <v>779</v>
      </c>
      <c r="F434" s="35" t="s">
        <v>411</v>
      </c>
      <c r="G434" s="7"/>
      <c r="H434" s="7"/>
      <c r="I434" s="12"/>
    </row>
    <row r="435" spans="1:9" ht="51" x14ac:dyDescent="0.2">
      <c r="A435" s="35" t="str">
        <f>HYPERLINK("https://mississippidhs.jamacloud.com/perspective.req?projectId=53&amp;docId=28361","LSRP-SHRQ-430")</f>
        <v>LSRP-SHRQ-430</v>
      </c>
      <c r="B435" s="8" t="s">
        <v>780</v>
      </c>
      <c r="C435" s="35" t="s">
        <v>401</v>
      </c>
      <c r="D435" s="36" t="s">
        <v>53</v>
      </c>
      <c r="E435" s="37" t="s">
        <v>779</v>
      </c>
      <c r="F435" s="35" t="s">
        <v>411</v>
      </c>
      <c r="G435" s="7"/>
      <c r="H435" s="7"/>
      <c r="I435" s="12"/>
    </row>
    <row r="436" spans="1:9" ht="38.25" x14ac:dyDescent="0.2">
      <c r="A436" s="35" t="str">
        <f>HYPERLINK("https://mississippidhs.jamacloud.com/perspective.req?projectId=53&amp;docId=28362","LSRP-SHRQ-431")</f>
        <v>LSRP-SHRQ-431</v>
      </c>
      <c r="B436" s="8" t="s">
        <v>781</v>
      </c>
      <c r="C436" s="35" t="s">
        <v>401</v>
      </c>
      <c r="D436" s="36" t="s">
        <v>53</v>
      </c>
      <c r="E436" s="37" t="s">
        <v>779</v>
      </c>
      <c r="F436" s="35" t="s">
        <v>411</v>
      </c>
      <c r="G436" s="7"/>
      <c r="H436" s="7"/>
      <c r="I436" s="12"/>
    </row>
    <row r="437" spans="1:9" ht="76.5" x14ac:dyDescent="0.2">
      <c r="A437" s="35" t="str">
        <f>HYPERLINK("https://mississippidhs.jamacloud.com/perspective.req?projectId=53&amp;docId=28363","LSRP-SHRQ-432")</f>
        <v>LSRP-SHRQ-432</v>
      </c>
      <c r="B437" s="8" t="s">
        <v>782</v>
      </c>
      <c r="C437" s="35" t="s">
        <v>401</v>
      </c>
      <c r="D437" s="36" t="s">
        <v>53</v>
      </c>
      <c r="E437" s="37" t="s">
        <v>779</v>
      </c>
      <c r="F437" s="35" t="s">
        <v>411</v>
      </c>
      <c r="G437" s="7"/>
      <c r="H437" s="7"/>
      <c r="I437" s="12"/>
    </row>
    <row r="438" spans="1:9" ht="25.5" x14ac:dyDescent="0.2">
      <c r="A438" s="35" t="str">
        <f>HYPERLINK("https://mississippidhs.jamacloud.com/perspective.req?projectId=53&amp;docId=28364","LSRP-SHRQ-433")</f>
        <v>LSRP-SHRQ-433</v>
      </c>
      <c r="B438" s="8" t="s">
        <v>783</v>
      </c>
      <c r="C438" s="35" t="s">
        <v>401</v>
      </c>
      <c r="D438" s="36" t="s">
        <v>53</v>
      </c>
      <c r="E438" s="37" t="s">
        <v>779</v>
      </c>
      <c r="F438" s="35" t="s">
        <v>411</v>
      </c>
      <c r="G438" s="7"/>
      <c r="H438" s="7"/>
      <c r="I438" s="12"/>
    </row>
    <row r="439" spans="1:9" ht="38.25" x14ac:dyDescent="0.2">
      <c r="A439" s="35" t="str">
        <f>HYPERLINK("https://mississippidhs.jamacloud.com/perspective.req?projectId=53&amp;docId=28365","LSRP-SHRQ-434")</f>
        <v>LSRP-SHRQ-434</v>
      </c>
      <c r="B439" s="8" t="s">
        <v>784</v>
      </c>
      <c r="C439" s="35" t="s">
        <v>401</v>
      </c>
      <c r="D439" s="36" t="s">
        <v>53</v>
      </c>
      <c r="E439" s="37" t="s">
        <v>779</v>
      </c>
      <c r="F439" s="35" t="s">
        <v>411</v>
      </c>
      <c r="G439" s="7"/>
      <c r="H439" s="7"/>
      <c r="I439" s="12"/>
    </row>
    <row r="440" spans="1:9" ht="63.75" x14ac:dyDescent="0.2">
      <c r="A440" s="35" t="str">
        <f>HYPERLINK("https://mississippidhs.jamacloud.com/perspective.req?projectId=53&amp;docId=28366","LSRP-SHRQ-435")</f>
        <v>LSRP-SHRQ-435</v>
      </c>
      <c r="B440" s="8" t="s">
        <v>785</v>
      </c>
      <c r="C440" s="35" t="s">
        <v>401</v>
      </c>
      <c r="D440" s="36" t="s">
        <v>53</v>
      </c>
      <c r="E440" s="37" t="s">
        <v>779</v>
      </c>
      <c r="F440" s="35" t="s">
        <v>411</v>
      </c>
      <c r="G440" s="7"/>
      <c r="H440" s="7"/>
      <c r="I440" s="12"/>
    </row>
    <row r="441" spans="1:9" ht="51" x14ac:dyDescent="0.2">
      <c r="A441" s="35" t="str">
        <f>HYPERLINK("https://mississippidhs.jamacloud.com/perspective.req?projectId=53&amp;docId=28367","LSRP-SHRQ-436")</f>
        <v>LSRP-SHRQ-436</v>
      </c>
      <c r="B441" s="8" t="s">
        <v>786</v>
      </c>
      <c r="C441" s="35" t="s">
        <v>401</v>
      </c>
      <c r="D441" s="36" t="s">
        <v>53</v>
      </c>
      <c r="E441" s="37" t="s">
        <v>779</v>
      </c>
      <c r="F441" s="35" t="s">
        <v>411</v>
      </c>
      <c r="G441" s="7"/>
      <c r="H441" s="7"/>
      <c r="I441" s="12"/>
    </row>
    <row r="442" spans="1:9" ht="51" x14ac:dyDescent="0.2">
      <c r="A442" s="35" t="str">
        <f>HYPERLINK("https://mississippidhs.jamacloud.com/perspective.req?projectId=53&amp;docId=28368","LSRP-SHRQ-437")</f>
        <v>LSRP-SHRQ-437</v>
      </c>
      <c r="B442" s="8" t="s">
        <v>787</v>
      </c>
      <c r="C442" s="35" t="s">
        <v>401</v>
      </c>
      <c r="D442" s="36" t="s">
        <v>53</v>
      </c>
      <c r="E442" s="37" t="s">
        <v>779</v>
      </c>
      <c r="F442" s="35" t="s">
        <v>411</v>
      </c>
      <c r="G442" s="7"/>
      <c r="H442" s="7"/>
      <c r="I442" s="12"/>
    </row>
    <row r="443" spans="1:9" ht="51" x14ac:dyDescent="0.2">
      <c r="A443" s="35" t="str">
        <f>HYPERLINK("https://mississippidhs.jamacloud.com/perspective.req?projectId=53&amp;docId=28369","LSRP-SHRQ-438")</f>
        <v>LSRP-SHRQ-438</v>
      </c>
      <c r="B443" s="8" t="s">
        <v>788</v>
      </c>
      <c r="C443" s="35" t="s">
        <v>401</v>
      </c>
      <c r="D443" s="36" t="s">
        <v>53</v>
      </c>
      <c r="E443" s="37" t="s">
        <v>779</v>
      </c>
      <c r="F443" s="35" t="s">
        <v>411</v>
      </c>
      <c r="G443" s="7"/>
      <c r="H443" s="7"/>
      <c r="I443" s="12"/>
    </row>
    <row r="444" spans="1:9" ht="51" x14ac:dyDescent="0.2">
      <c r="A444" s="35" t="str">
        <f>HYPERLINK("https://mississippidhs.jamacloud.com/perspective.req?projectId=53&amp;docId=28370","LSRP-SHRQ-439")</f>
        <v>LSRP-SHRQ-439</v>
      </c>
      <c r="B444" s="8" t="s">
        <v>789</v>
      </c>
      <c r="C444" s="35" t="s">
        <v>401</v>
      </c>
      <c r="D444" s="36" t="s">
        <v>53</v>
      </c>
      <c r="E444" s="37" t="s">
        <v>779</v>
      </c>
      <c r="F444" s="35" t="s">
        <v>411</v>
      </c>
      <c r="G444" s="7"/>
      <c r="H444" s="7"/>
      <c r="I444" s="12"/>
    </row>
    <row r="445" spans="1:9" ht="38.25" x14ac:dyDescent="0.2">
      <c r="A445" s="35" t="str">
        <f>HYPERLINK("https://mississippidhs.jamacloud.com/perspective.req?projectId=53&amp;docId=28371","LSRP-SHRQ-440")</f>
        <v>LSRP-SHRQ-440</v>
      </c>
      <c r="B445" s="8" t="s">
        <v>790</v>
      </c>
      <c r="C445" s="35" t="s">
        <v>401</v>
      </c>
      <c r="D445" s="36" t="s">
        <v>53</v>
      </c>
      <c r="E445" s="37" t="s">
        <v>779</v>
      </c>
      <c r="F445" s="35" t="s">
        <v>411</v>
      </c>
      <c r="G445" s="7"/>
      <c r="H445" s="7"/>
      <c r="I445" s="12"/>
    </row>
    <row r="446" spans="1:9" ht="38.25" x14ac:dyDescent="0.2">
      <c r="A446" s="35" t="str">
        <f>HYPERLINK("https://mississippidhs.jamacloud.com/perspective.req?projectId=53&amp;docId=28372","LSRP-SHRQ-441")</f>
        <v>LSRP-SHRQ-441</v>
      </c>
      <c r="B446" s="8" t="s">
        <v>791</v>
      </c>
      <c r="C446" s="35" t="s">
        <v>401</v>
      </c>
      <c r="D446" s="36" t="s">
        <v>53</v>
      </c>
      <c r="E446" s="37" t="s">
        <v>779</v>
      </c>
      <c r="F446" s="35" t="s">
        <v>411</v>
      </c>
      <c r="G446" s="7"/>
      <c r="H446" s="7"/>
      <c r="I446" s="12"/>
    </row>
    <row r="447" spans="1:9" ht="51" x14ac:dyDescent="0.2">
      <c r="A447" s="35" t="str">
        <f>HYPERLINK("https://mississippidhs.jamacloud.com/perspective.req?projectId=53&amp;docId=28373","LSRP-SHRQ-442")</f>
        <v>LSRP-SHRQ-442</v>
      </c>
      <c r="B447" s="8" t="s">
        <v>792</v>
      </c>
      <c r="C447" s="35" t="s">
        <v>401</v>
      </c>
      <c r="D447" s="36" t="s">
        <v>53</v>
      </c>
      <c r="E447" s="37" t="s">
        <v>779</v>
      </c>
      <c r="F447" s="35" t="s">
        <v>411</v>
      </c>
      <c r="G447" s="7"/>
      <c r="H447" s="7"/>
      <c r="I447" s="12"/>
    </row>
    <row r="448" spans="1:9" ht="25.5" x14ac:dyDescent="0.2">
      <c r="A448" s="35" t="str">
        <f>HYPERLINK("https://mississippidhs.jamacloud.com/perspective.req?projectId=53&amp;docId=28374","LSRP-SHRQ-443")</f>
        <v>LSRP-SHRQ-443</v>
      </c>
      <c r="B448" s="8" t="s">
        <v>793</v>
      </c>
      <c r="C448" s="35" t="s">
        <v>401</v>
      </c>
      <c r="D448" s="36" t="s">
        <v>53</v>
      </c>
      <c r="E448" s="37" t="s">
        <v>779</v>
      </c>
      <c r="F448" s="35" t="s">
        <v>411</v>
      </c>
      <c r="G448" s="7"/>
      <c r="H448" s="7"/>
      <c r="I448" s="12"/>
    </row>
    <row r="449" spans="1:9" ht="38.25" x14ac:dyDescent="0.2">
      <c r="A449" s="35" t="str">
        <f>HYPERLINK("https://mississippidhs.jamacloud.com/perspective.req?projectId=53&amp;docId=28375","LSRP-SHRQ-444")</f>
        <v>LSRP-SHRQ-444</v>
      </c>
      <c r="B449" s="8" t="s">
        <v>794</v>
      </c>
      <c r="C449" s="35" t="s">
        <v>401</v>
      </c>
      <c r="D449" s="36" t="s">
        <v>53</v>
      </c>
      <c r="E449" s="37" t="s">
        <v>779</v>
      </c>
      <c r="F449" s="35" t="s">
        <v>411</v>
      </c>
      <c r="G449" s="7"/>
      <c r="H449" s="7"/>
      <c r="I449" s="12"/>
    </row>
    <row r="450" spans="1:9" ht="25.5" x14ac:dyDescent="0.2">
      <c r="A450" s="35" t="str">
        <f>HYPERLINK("https://mississippidhs.jamacloud.com/perspective.req?projectId=53&amp;docId=28376","LSRP-SHRQ-445")</f>
        <v>LSRP-SHRQ-445</v>
      </c>
      <c r="B450" s="8" t="s">
        <v>795</v>
      </c>
      <c r="C450" s="35" t="s">
        <v>401</v>
      </c>
      <c r="D450" s="36" t="s">
        <v>53</v>
      </c>
      <c r="E450" s="37" t="s">
        <v>779</v>
      </c>
      <c r="F450" s="35" t="s">
        <v>411</v>
      </c>
      <c r="G450" s="7"/>
      <c r="H450" s="7"/>
      <c r="I450" s="12"/>
    </row>
    <row r="451" spans="1:9" ht="38.25" x14ac:dyDescent="0.2">
      <c r="A451" s="35" t="str">
        <f>HYPERLINK("https://mississippidhs.jamacloud.com/perspective.req?projectId=53&amp;docId=28377","LSRP-SHRQ-446")</f>
        <v>LSRP-SHRQ-446</v>
      </c>
      <c r="B451" s="8" t="s">
        <v>796</v>
      </c>
      <c r="C451" s="35" t="s">
        <v>401</v>
      </c>
      <c r="D451" s="36" t="s">
        <v>53</v>
      </c>
      <c r="E451" s="37" t="s">
        <v>779</v>
      </c>
      <c r="F451" s="35" t="s">
        <v>411</v>
      </c>
      <c r="G451" s="7"/>
      <c r="H451" s="7"/>
      <c r="I451" s="12"/>
    </row>
    <row r="452" spans="1:9" ht="25.5" x14ac:dyDescent="0.2">
      <c r="A452" s="35" t="str">
        <f>HYPERLINK("https://mississippidhs.jamacloud.com/perspective.req?projectId=53&amp;docId=28378","LSRP-SHRQ-447")</f>
        <v>LSRP-SHRQ-447</v>
      </c>
      <c r="B452" s="8" t="s">
        <v>797</v>
      </c>
      <c r="C452" s="35" t="s">
        <v>401</v>
      </c>
      <c r="D452" s="36" t="s">
        <v>53</v>
      </c>
      <c r="E452" s="37" t="s">
        <v>779</v>
      </c>
      <c r="F452" s="35" t="s">
        <v>411</v>
      </c>
      <c r="G452" s="7"/>
      <c r="H452" s="7"/>
      <c r="I452" s="12"/>
    </row>
    <row r="453" spans="1:9" ht="25.5" x14ac:dyDescent="0.2">
      <c r="A453" s="35" t="str">
        <f>HYPERLINK("https://mississippidhs.jamacloud.com/perspective.req?projectId=53&amp;docId=28379","LSRP-SHRQ-448")</f>
        <v>LSRP-SHRQ-448</v>
      </c>
      <c r="B453" s="8" t="s">
        <v>798</v>
      </c>
      <c r="C453" s="35" t="s">
        <v>401</v>
      </c>
      <c r="D453" s="36" t="s">
        <v>53</v>
      </c>
      <c r="E453" s="37" t="s">
        <v>779</v>
      </c>
      <c r="F453" s="35" t="s">
        <v>411</v>
      </c>
      <c r="G453" s="7"/>
      <c r="H453" s="7"/>
      <c r="I453" s="12"/>
    </row>
    <row r="454" spans="1:9" ht="38.25" x14ac:dyDescent="0.2">
      <c r="A454" s="35" t="str">
        <f>HYPERLINK("https://mississippidhs.jamacloud.com/perspective.req?projectId=53&amp;docId=28380","LSRP-SHRQ-449")</f>
        <v>LSRP-SHRQ-449</v>
      </c>
      <c r="B454" s="8" t="s">
        <v>799</v>
      </c>
      <c r="C454" s="35" t="s">
        <v>401</v>
      </c>
      <c r="D454" s="36" t="s">
        <v>53</v>
      </c>
      <c r="E454" s="37" t="s">
        <v>779</v>
      </c>
      <c r="F454" s="35" t="s">
        <v>411</v>
      </c>
      <c r="G454" s="7"/>
      <c r="H454" s="7"/>
      <c r="I454" s="12"/>
    </row>
    <row r="455" spans="1:9" ht="25.5" x14ac:dyDescent="0.2">
      <c r="A455" s="35" t="str">
        <f>HYPERLINK("https://mississippidhs.jamacloud.com/perspective.req?projectId=53&amp;docId=28381","LSRP-SHRQ-450")</f>
        <v>LSRP-SHRQ-450</v>
      </c>
      <c r="B455" s="8" t="s">
        <v>800</v>
      </c>
      <c r="C455" s="35" t="s">
        <v>401</v>
      </c>
      <c r="D455" s="36" t="s">
        <v>53</v>
      </c>
      <c r="E455" s="37" t="s">
        <v>779</v>
      </c>
      <c r="F455" s="35" t="s">
        <v>411</v>
      </c>
      <c r="G455" s="7"/>
      <c r="H455" s="7"/>
      <c r="I455" s="12"/>
    </row>
    <row r="456" spans="1:9" ht="51" x14ac:dyDescent="0.2">
      <c r="A456" s="35" t="str">
        <f>HYPERLINK("https://mississippidhs.jamacloud.com/perspective.req?projectId=53&amp;docId=28382","LSRP-SHRQ-451")</f>
        <v>LSRP-SHRQ-451</v>
      </c>
      <c r="B456" s="8" t="s">
        <v>801</v>
      </c>
      <c r="C456" s="35" t="s">
        <v>401</v>
      </c>
      <c r="D456" s="36" t="s">
        <v>53</v>
      </c>
      <c r="E456" s="37" t="s">
        <v>779</v>
      </c>
      <c r="F456" s="35" t="s">
        <v>411</v>
      </c>
      <c r="G456" s="7"/>
      <c r="H456" s="7"/>
      <c r="I456" s="12"/>
    </row>
    <row r="457" spans="1:9" ht="38.25" x14ac:dyDescent="0.2">
      <c r="A457" s="35" t="str">
        <f>HYPERLINK("https://mississippidhs.jamacloud.com/perspective.req?projectId=53&amp;docId=28383","LSRP-SHRQ-452")</f>
        <v>LSRP-SHRQ-452</v>
      </c>
      <c r="B457" s="8" t="s">
        <v>802</v>
      </c>
      <c r="C457" s="35" t="s">
        <v>401</v>
      </c>
      <c r="D457" s="36" t="s">
        <v>53</v>
      </c>
      <c r="E457" s="37" t="s">
        <v>779</v>
      </c>
      <c r="F457" s="35" t="s">
        <v>411</v>
      </c>
      <c r="G457" s="7"/>
      <c r="H457" s="7"/>
      <c r="I457" s="12"/>
    </row>
    <row r="458" spans="1:9" ht="51" x14ac:dyDescent="0.2">
      <c r="A458" s="35" t="str">
        <f>HYPERLINK("https://mississippidhs.jamacloud.com/perspective.req?projectId=53&amp;docId=28384","LSRP-SHRQ-453")</f>
        <v>LSRP-SHRQ-453</v>
      </c>
      <c r="B458" s="8" t="s">
        <v>803</v>
      </c>
      <c r="C458" s="35" t="s">
        <v>401</v>
      </c>
      <c r="D458" s="36" t="s">
        <v>53</v>
      </c>
      <c r="E458" s="37" t="s">
        <v>779</v>
      </c>
      <c r="F458" s="35" t="s">
        <v>411</v>
      </c>
      <c r="G458" s="7"/>
      <c r="H458" s="7"/>
      <c r="I458" s="12"/>
    </row>
    <row r="459" spans="1:9" ht="63.75" x14ac:dyDescent="0.2">
      <c r="A459" s="35" t="str">
        <f>HYPERLINK("https://mississippidhs.jamacloud.com/perspective.req?projectId=53&amp;docId=28385","LSRP-SHRQ-454")</f>
        <v>LSRP-SHRQ-454</v>
      </c>
      <c r="B459" s="8" t="s">
        <v>804</v>
      </c>
      <c r="C459" s="35" t="s">
        <v>401</v>
      </c>
      <c r="D459" s="36" t="s">
        <v>53</v>
      </c>
      <c r="E459" s="37" t="s">
        <v>779</v>
      </c>
      <c r="F459" s="35" t="s">
        <v>411</v>
      </c>
      <c r="G459" s="7"/>
      <c r="H459" s="7"/>
      <c r="I459" s="12"/>
    </row>
    <row r="460" spans="1:9" ht="25.5" x14ac:dyDescent="0.2">
      <c r="A460" s="35" t="str">
        <f>HYPERLINK("https://mississippidhs.jamacloud.com/perspective.req?projectId=53&amp;docId=28386","LSRP-SHRQ-455")</f>
        <v>LSRP-SHRQ-455</v>
      </c>
      <c r="B460" s="8" t="s">
        <v>805</v>
      </c>
      <c r="C460" s="35" t="s">
        <v>401</v>
      </c>
      <c r="D460" s="36" t="s">
        <v>53</v>
      </c>
      <c r="E460" s="37" t="s">
        <v>779</v>
      </c>
      <c r="F460" s="35" t="s">
        <v>411</v>
      </c>
      <c r="G460" s="7"/>
      <c r="H460" s="7"/>
      <c r="I460" s="12"/>
    </row>
    <row r="461" spans="1:9" ht="38.25" x14ac:dyDescent="0.2">
      <c r="A461" s="35" t="str">
        <f>HYPERLINK("https://mississippidhs.jamacloud.com/perspective.req?projectId=53&amp;docId=28387","LSRP-SHRQ-456")</f>
        <v>LSRP-SHRQ-456</v>
      </c>
      <c r="B461" s="8" t="s">
        <v>806</v>
      </c>
      <c r="C461" s="35" t="s">
        <v>401</v>
      </c>
      <c r="D461" s="36" t="s">
        <v>53</v>
      </c>
      <c r="E461" s="37" t="s">
        <v>779</v>
      </c>
      <c r="F461" s="35" t="s">
        <v>411</v>
      </c>
      <c r="G461" s="7"/>
      <c r="H461" s="7"/>
      <c r="I461" s="12"/>
    </row>
    <row r="462" spans="1:9" ht="38.25" x14ac:dyDescent="0.2">
      <c r="A462" s="35" t="str">
        <f>HYPERLINK("https://mississippidhs.jamacloud.com/perspective.req?projectId=53&amp;docId=28388","LSRP-SHRQ-457")</f>
        <v>LSRP-SHRQ-457</v>
      </c>
      <c r="B462" s="8" t="s">
        <v>807</v>
      </c>
      <c r="C462" s="35" t="s">
        <v>401</v>
      </c>
      <c r="D462" s="36" t="s">
        <v>53</v>
      </c>
      <c r="E462" s="37" t="s">
        <v>779</v>
      </c>
      <c r="F462" s="35" t="s">
        <v>411</v>
      </c>
      <c r="G462" s="7"/>
      <c r="H462" s="7"/>
      <c r="I462" s="12"/>
    </row>
    <row r="463" spans="1:9" ht="38.25" x14ac:dyDescent="0.2">
      <c r="A463" s="35" t="str">
        <f>HYPERLINK("https://mississippidhs.jamacloud.com/perspective.req?projectId=53&amp;docId=28389","LSRP-SHRQ-458")</f>
        <v>LSRP-SHRQ-458</v>
      </c>
      <c r="B463" s="8" t="s">
        <v>808</v>
      </c>
      <c r="C463" s="35" t="s">
        <v>401</v>
      </c>
      <c r="D463" s="36" t="s">
        <v>53</v>
      </c>
      <c r="E463" s="37" t="s">
        <v>779</v>
      </c>
      <c r="F463" s="35" t="s">
        <v>411</v>
      </c>
      <c r="G463" s="7"/>
      <c r="H463" s="7"/>
      <c r="I463" s="12"/>
    </row>
    <row r="464" spans="1:9" ht="76.5" x14ac:dyDescent="0.2">
      <c r="A464" s="35" t="str">
        <f>HYPERLINK("https://mississippidhs.jamacloud.com/perspective.req?projectId=53&amp;docId=28390","LSRP-SHRQ-459")</f>
        <v>LSRP-SHRQ-459</v>
      </c>
      <c r="B464" s="8" t="s">
        <v>809</v>
      </c>
      <c r="C464" s="35" t="s">
        <v>401</v>
      </c>
      <c r="D464" s="36" t="s">
        <v>53</v>
      </c>
      <c r="E464" s="37" t="s">
        <v>779</v>
      </c>
      <c r="F464" s="35" t="s">
        <v>411</v>
      </c>
      <c r="G464" s="7"/>
      <c r="H464" s="7"/>
      <c r="I464" s="12"/>
    </row>
    <row r="465" spans="1:9" ht="38.25" x14ac:dyDescent="0.2">
      <c r="A465" s="35" t="str">
        <f>HYPERLINK("https://mississippidhs.jamacloud.com/perspective.req?projectId=53&amp;docId=28391","LSRP-SHRQ-460")</f>
        <v>LSRP-SHRQ-460</v>
      </c>
      <c r="B465" s="8" t="s">
        <v>810</v>
      </c>
      <c r="C465" s="35" t="s">
        <v>401</v>
      </c>
      <c r="D465" s="36" t="s">
        <v>53</v>
      </c>
      <c r="E465" s="37" t="s">
        <v>779</v>
      </c>
      <c r="F465" s="35" t="s">
        <v>411</v>
      </c>
      <c r="G465" s="7"/>
      <c r="H465" s="7"/>
      <c r="I465" s="12"/>
    </row>
    <row r="466" spans="1:9" ht="38.25" x14ac:dyDescent="0.2">
      <c r="A466" s="35" t="str">
        <f>HYPERLINK("https://mississippidhs.jamacloud.com/perspective.req?projectId=53&amp;docId=28392","LSRP-SHRQ-461")</f>
        <v>LSRP-SHRQ-461</v>
      </c>
      <c r="B466" s="8" t="s">
        <v>811</v>
      </c>
      <c r="C466" s="35" t="s">
        <v>401</v>
      </c>
      <c r="D466" s="36" t="s">
        <v>53</v>
      </c>
      <c r="E466" s="37" t="s">
        <v>779</v>
      </c>
      <c r="F466" s="35" t="s">
        <v>411</v>
      </c>
      <c r="G466" s="7"/>
      <c r="H466" s="7"/>
      <c r="I466" s="12"/>
    </row>
    <row r="467" spans="1:9" ht="25.5" x14ac:dyDescent="0.2">
      <c r="A467" s="35" t="str">
        <f>HYPERLINK("https://mississippidhs.jamacloud.com/perspective.req?projectId=53&amp;docId=28393","LSRP-SHRQ-462")</f>
        <v>LSRP-SHRQ-462</v>
      </c>
      <c r="B467" s="8" t="s">
        <v>812</v>
      </c>
      <c r="C467" s="35" t="s">
        <v>401</v>
      </c>
      <c r="D467" s="36" t="s">
        <v>53</v>
      </c>
      <c r="E467" s="37" t="s">
        <v>779</v>
      </c>
      <c r="F467" s="35" t="s">
        <v>411</v>
      </c>
      <c r="G467" s="7"/>
      <c r="H467" s="7"/>
      <c r="I467" s="12"/>
    </row>
    <row r="468" spans="1:9" ht="38.25" x14ac:dyDescent="0.2">
      <c r="A468" s="35" t="str">
        <f>HYPERLINK("https://mississippidhs.jamacloud.com/perspective.req?projectId=53&amp;docId=28394","LSRP-SHRQ-463")</f>
        <v>LSRP-SHRQ-463</v>
      </c>
      <c r="B468" s="8" t="s">
        <v>813</v>
      </c>
      <c r="C468" s="35" t="s">
        <v>401</v>
      </c>
      <c r="D468" s="36" t="s">
        <v>53</v>
      </c>
      <c r="E468" s="37" t="s">
        <v>779</v>
      </c>
      <c r="F468" s="35" t="s">
        <v>411</v>
      </c>
      <c r="G468" s="7"/>
      <c r="H468" s="7"/>
      <c r="I468" s="12"/>
    </row>
    <row r="469" spans="1:9" ht="25.5" x14ac:dyDescent="0.2">
      <c r="A469" s="35" t="str">
        <f>HYPERLINK("https://mississippidhs.jamacloud.com/perspective.req?projectId=53&amp;docId=28395","LSRP-SHRQ-464")</f>
        <v>LSRP-SHRQ-464</v>
      </c>
      <c r="B469" s="8" t="s">
        <v>814</v>
      </c>
      <c r="C469" s="35" t="s">
        <v>401</v>
      </c>
      <c r="D469" s="36" t="s">
        <v>53</v>
      </c>
      <c r="E469" s="37" t="s">
        <v>779</v>
      </c>
      <c r="F469" s="35" t="s">
        <v>411</v>
      </c>
      <c r="G469" s="7"/>
      <c r="H469" s="7"/>
      <c r="I469" s="12"/>
    </row>
    <row r="470" spans="1:9" ht="25.5" x14ac:dyDescent="0.2">
      <c r="A470" s="35" t="str">
        <f>HYPERLINK("https://mississippidhs.jamacloud.com/perspective.req?projectId=53&amp;docId=28396","LSRP-SHRQ-465")</f>
        <v>LSRP-SHRQ-465</v>
      </c>
      <c r="B470" s="8" t="s">
        <v>815</v>
      </c>
      <c r="C470" s="35" t="s">
        <v>401</v>
      </c>
      <c r="D470" s="36" t="s">
        <v>53</v>
      </c>
      <c r="E470" s="37" t="s">
        <v>779</v>
      </c>
      <c r="F470" s="35" t="s">
        <v>411</v>
      </c>
      <c r="G470" s="7"/>
      <c r="H470" s="7"/>
      <c r="I470" s="12"/>
    </row>
    <row r="471" spans="1:9" ht="25.5" x14ac:dyDescent="0.2">
      <c r="A471" s="35" t="str">
        <f>HYPERLINK("https://mississippidhs.jamacloud.com/perspective.req?projectId=53&amp;docId=28397","LSRP-SHRQ-466")</f>
        <v>LSRP-SHRQ-466</v>
      </c>
      <c r="B471" s="8" t="s">
        <v>816</v>
      </c>
      <c r="C471" s="35" t="s">
        <v>401</v>
      </c>
      <c r="D471" s="36" t="s">
        <v>53</v>
      </c>
      <c r="E471" s="37" t="s">
        <v>779</v>
      </c>
      <c r="F471" s="35" t="s">
        <v>411</v>
      </c>
      <c r="G471" s="7"/>
      <c r="H471" s="7"/>
      <c r="I471" s="12"/>
    </row>
    <row r="472" spans="1:9" ht="38.25" x14ac:dyDescent="0.2">
      <c r="A472" s="35" t="str">
        <f>HYPERLINK("https://mississippidhs.jamacloud.com/perspective.req?projectId=53&amp;docId=28398","LSRP-SHRQ-467")</f>
        <v>LSRP-SHRQ-467</v>
      </c>
      <c r="B472" s="8" t="s">
        <v>817</v>
      </c>
      <c r="C472" s="35" t="s">
        <v>401</v>
      </c>
      <c r="D472" s="36" t="s">
        <v>53</v>
      </c>
      <c r="E472" s="37" t="s">
        <v>779</v>
      </c>
      <c r="F472" s="35" t="s">
        <v>411</v>
      </c>
      <c r="G472" s="7"/>
      <c r="H472" s="7"/>
      <c r="I472" s="12"/>
    </row>
    <row r="473" spans="1:9" ht="25.5" x14ac:dyDescent="0.2">
      <c r="A473" s="35" t="str">
        <f>HYPERLINK("https://mississippidhs.jamacloud.com/perspective.req?projectId=53&amp;docId=28399","LSRP-SHRQ-468")</f>
        <v>LSRP-SHRQ-468</v>
      </c>
      <c r="B473" s="8" t="s">
        <v>818</v>
      </c>
      <c r="C473" s="35" t="s">
        <v>401</v>
      </c>
      <c r="D473" s="36" t="s">
        <v>53</v>
      </c>
      <c r="E473" s="37" t="s">
        <v>779</v>
      </c>
      <c r="F473" s="35" t="s">
        <v>411</v>
      </c>
      <c r="G473" s="7"/>
      <c r="H473" s="7"/>
      <c r="I473" s="12"/>
    </row>
    <row r="474" spans="1:9" ht="25.5" x14ac:dyDescent="0.2">
      <c r="A474" s="35" t="str">
        <f>HYPERLINK("https://mississippidhs.jamacloud.com/perspective.req?projectId=53&amp;docId=28400","LSRP-SHRQ-469")</f>
        <v>LSRP-SHRQ-469</v>
      </c>
      <c r="B474" s="8" t="s">
        <v>819</v>
      </c>
      <c r="C474" s="35" t="s">
        <v>401</v>
      </c>
      <c r="D474" s="36" t="s">
        <v>53</v>
      </c>
      <c r="E474" s="37" t="s">
        <v>779</v>
      </c>
      <c r="F474" s="35" t="s">
        <v>411</v>
      </c>
      <c r="G474" s="7"/>
      <c r="H474" s="7"/>
      <c r="I474" s="12"/>
    </row>
    <row r="475" spans="1:9" ht="63.75" x14ac:dyDescent="0.2">
      <c r="A475" s="35" t="str">
        <f>HYPERLINK("https://mississippidhs.jamacloud.com/perspective.req?projectId=53&amp;docId=28401","LSRP-SHRQ-470")</f>
        <v>LSRP-SHRQ-470</v>
      </c>
      <c r="B475" s="8" t="s">
        <v>820</v>
      </c>
      <c r="C475" s="35" t="s">
        <v>401</v>
      </c>
      <c r="D475" s="36" t="s">
        <v>53</v>
      </c>
      <c r="E475" s="37" t="s">
        <v>779</v>
      </c>
      <c r="F475" s="35" t="s">
        <v>411</v>
      </c>
      <c r="G475" s="7"/>
      <c r="H475" s="7"/>
      <c r="I475" s="12"/>
    </row>
    <row r="476" spans="1:9" ht="51" x14ac:dyDescent="0.2">
      <c r="A476" s="35" t="str">
        <f>HYPERLINK("https://mississippidhs.jamacloud.com/perspective.req?projectId=53&amp;docId=28402","LSRP-SHRQ-471")</f>
        <v>LSRP-SHRQ-471</v>
      </c>
      <c r="B476" s="8" t="s">
        <v>821</v>
      </c>
      <c r="C476" s="35" t="s">
        <v>401</v>
      </c>
      <c r="D476" s="36" t="s">
        <v>53</v>
      </c>
      <c r="E476" s="37" t="s">
        <v>779</v>
      </c>
      <c r="F476" s="35" t="s">
        <v>411</v>
      </c>
      <c r="G476" s="7"/>
      <c r="H476" s="7"/>
      <c r="I476" s="12"/>
    </row>
    <row r="477" spans="1:9" ht="38.25" x14ac:dyDescent="0.2">
      <c r="A477" s="35" t="str">
        <f>HYPERLINK("https://mississippidhs.jamacloud.com/perspective.req?projectId=53&amp;docId=28403","LSRP-SHRQ-472")</f>
        <v>LSRP-SHRQ-472</v>
      </c>
      <c r="B477" s="8" t="s">
        <v>822</v>
      </c>
      <c r="C477" s="35" t="s">
        <v>401</v>
      </c>
      <c r="D477" s="36" t="s">
        <v>53</v>
      </c>
      <c r="E477" s="37" t="s">
        <v>779</v>
      </c>
      <c r="F477" s="35" t="s">
        <v>411</v>
      </c>
      <c r="G477" s="7"/>
      <c r="H477" s="7"/>
      <c r="I477" s="12"/>
    </row>
    <row r="478" spans="1:9" ht="25.5" x14ac:dyDescent="0.2">
      <c r="A478" s="35" t="str">
        <f>HYPERLINK("https://mississippidhs.jamacloud.com/perspective.req?projectId=53&amp;docId=28404","LSRP-SHRQ-473")</f>
        <v>LSRP-SHRQ-473</v>
      </c>
      <c r="B478" s="8" t="s">
        <v>823</v>
      </c>
      <c r="C478" s="35" t="s">
        <v>401</v>
      </c>
      <c r="D478" s="36" t="s">
        <v>53</v>
      </c>
      <c r="E478" s="37" t="s">
        <v>779</v>
      </c>
      <c r="F478" s="35" t="s">
        <v>411</v>
      </c>
      <c r="G478" s="7"/>
      <c r="H478" s="7"/>
      <c r="I478" s="12"/>
    </row>
    <row r="479" spans="1:9" ht="38.25" x14ac:dyDescent="0.2">
      <c r="A479" s="35" t="str">
        <f>HYPERLINK("https://mississippidhs.jamacloud.com/perspective.req?projectId=53&amp;docId=28405","LSRP-SHRQ-474")</f>
        <v>LSRP-SHRQ-474</v>
      </c>
      <c r="B479" s="8" t="s">
        <v>824</v>
      </c>
      <c r="C479" s="35" t="s">
        <v>401</v>
      </c>
      <c r="D479" s="36" t="s">
        <v>53</v>
      </c>
      <c r="E479" s="37" t="s">
        <v>779</v>
      </c>
      <c r="F479" s="35" t="s">
        <v>411</v>
      </c>
      <c r="G479" s="7"/>
      <c r="H479" s="7"/>
      <c r="I479" s="12"/>
    </row>
    <row r="480" spans="1:9" ht="38.25" x14ac:dyDescent="0.2">
      <c r="A480" s="35" t="str">
        <f>HYPERLINK("https://mississippidhs.jamacloud.com/perspective.req?projectId=53&amp;docId=28406","LSRP-SHRQ-475")</f>
        <v>LSRP-SHRQ-475</v>
      </c>
      <c r="B480" s="8" t="s">
        <v>825</v>
      </c>
      <c r="C480" s="35" t="s">
        <v>401</v>
      </c>
      <c r="D480" s="36" t="s">
        <v>53</v>
      </c>
      <c r="E480" s="37" t="s">
        <v>779</v>
      </c>
      <c r="F480" s="35" t="s">
        <v>411</v>
      </c>
      <c r="G480" s="7"/>
      <c r="H480" s="7"/>
      <c r="I480" s="12"/>
    </row>
    <row r="481" spans="1:9" ht="25.5" x14ac:dyDescent="0.2">
      <c r="A481" s="35" t="str">
        <f>HYPERLINK("https://mississippidhs.jamacloud.com/perspective.req?projectId=53&amp;docId=28407","LSRP-SHRQ-476")</f>
        <v>LSRP-SHRQ-476</v>
      </c>
      <c r="B481" s="8" t="s">
        <v>826</v>
      </c>
      <c r="C481" s="35" t="s">
        <v>401</v>
      </c>
      <c r="D481" s="36" t="s">
        <v>53</v>
      </c>
      <c r="E481" s="37" t="s">
        <v>779</v>
      </c>
      <c r="F481" s="35" t="s">
        <v>411</v>
      </c>
      <c r="G481" s="7"/>
      <c r="H481" s="7"/>
      <c r="I481" s="12"/>
    </row>
    <row r="482" spans="1:9" ht="25.5" x14ac:dyDescent="0.2">
      <c r="A482" s="35" t="str">
        <f>HYPERLINK("https://mississippidhs.jamacloud.com/perspective.req?projectId=53&amp;docId=28408","LSRP-SHRQ-477")</f>
        <v>LSRP-SHRQ-477</v>
      </c>
      <c r="B482" s="8" t="s">
        <v>827</v>
      </c>
      <c r="C482" s="35" t="s">
        <v>401</v>
      </c>
      <c r="D482" s="36" t="s">
        <v>53</v>
      </c>
      <c r="E482" s="37" t="s">
        <v>779</v>
      </c>
      <c r="F482" s="35" t="s">
        <v>411</v>
      </c>
      <c r="G482" s="7"/>
      <c r="H482" s="7"/>
      <c r="I482" s="12"/>
    </row>
    <row r="483" spans="1:9" ht="38.25" x14ac:dyDescent="0.2">
      <c r="A483" s="35" t="str">
        <f>HYPERLINK("https://mississippidhs.jamacloud.com/perspective.req?projectId=53&amp;docId=28409","LSRP-SHRQ-478")</f>
        <v>LSRP-SHRQ-478</v>
      </c>
      <c r="B483" s="8" t="s">
        <v>828</v>
      </c>
      <c r="C483" s="35" t="s">
        <v>401</v>
      </c>
      <c r="D483" s="36" t="s">
        <v>53</v>
      </c>
      <c r="E483" s="37" t="s">
        <v>779</v>
      </c>
      <c r="F483" s="35" t="s">
        <v>411</v>
      </c>
      <c r="G483" s="7"/>
      <c r="H483" s="7"/>
      <c r="I483" s="12"/>
    </row>
    <row r="484" spans="1:9" ht="38.25" x14ac:dyDescent="0.2">
      <c r="A484" s="35" t="str">
        <f>HYPERLINK("https://mississippidhs.jamacloud.com/perspective.req?projectId=53&amp;docId=28410","LSRP-SHRQ-479")</f>
        <v>LSRP-SHRQ-479</v>
      </c>
      <c r="B484" s="8" t="s">
        <v>829</v>
      </c>
      <c r="C484" s="35" t="s">
        <v>401</v>
      </c>
      <c r="D484" s="36" t="s">
        <v>53</v>
      </c>
      <c r="E484" s="37" t="s">
        <v>779</v>
      </c>
      <c r="F484" s="35" t="s">
        <v>411</v>
      </c>
      <c r="G484" s="7"/>
      <c r="H484" s="7"/>
      <c r="I484" s="12"/>
    </row>
    <row r="485" spans="1:9" ht="51" x14ac:dyDescent="0.2">
      <c r="A485" s="35" t="str">
        <f>HYPERLINK("https://mississippidhs.jamacloud.com/perspective.req?projectId=53&amp;docId=28411","LSRP-SHRQ-480")</f>
        <v>LSRP-SHRQ-480</v>
      </c>
      <c r="B485" s="8" t="s">
        <v>830</v>
      </c>
      <c r="C485" s="35" t="s">
        <v>401</v>
      </c>
      <c r="D485" s="36" t="s">
        <v>53</v>
      </c>
      <c r="E485" s="37" t="s">
        <v>779</v>
      </c>
      <c r="F485" s="35" t="s">
        <v>411</v>
      </c>
      <c r="G485" s="7"/>
      <c r="H485" s="7"/>
      <c r="I485" s="12"/>
    </row>
    <row r="486" spans="1:9" ht="51" x14ac:dyDescent="0.2">
      <c r="A486" s="35" t="str">
        <f>HYPERLINK("https://mississippidhs.jamacloud.com/perspective.req?projectId=53&amp;docId=28412","LSRP-SHRQ-481")</f>
        <v>LSRP-SHRQ-481</v>
      </c>
      <c r="B486" s="8" t="s">
        <v>831</v>
      </c>
      <c r="C486" s="35" t="s">
        <v>401</v>
      </c>
      <c r="D486" s="36" t="s">
        <v>53</v>
      </c>
      <c r="E486" s="37" t="s">
        <v>779</v>
      </c>
      <c r="F486" s="35" t="s">
        <v>411</v>
      </c>
      <c r="G486" s="7"/>
      <c r="H486" s="7"/>
      <c r="I486" s="12"/>
    </row>
    <row r="487" spans="1:9" ht="25.5" x14ac:dyDescent="0.2">
      <c r="A487" s="35" t="str">
        <f>HYPERLINK("https://mississippidhs.jamacloud.com/perspective.req?projectId=53&amp;docId=28413","LSRP-SHRQ-482")</f>
        <v>LSRP-SHRQ-482</v>
      </c>
      <c r="B487" s="8" t="s">
        <v>832</v>
      </c>
      <c r="C487" s="35" t="s">
        <v>401</v>
      </c>
      <c r="D487" s="36" t="s">
        <v>53</v>
      </c>
      <c r="E487" s="37" t="s">
        <v>779</v>
      </c>
      <c r="F487" s="35" t="s">
        <v>411</v>
      </c>
      <c r="G487" s="7"/>
      <c r="H487" s="7"/>
      <c r="I487" s="12"/>
    </row>
    <row r="488" spans="1:9" ht="38.25" x14ac:dyDescent="0.2">
      <c r="A488" s="35" t="str">
        <f>HYPERLINK("https://mississippidhs.jamacloud.com/perspective.req?projectId=53&amp;docId=28414","LSRP-SHRQ-483")</f>
        <v>LSRP-SHRQ-483</v>
      </c>
      <c r="B488" s="8" t="s">
        <v>833</v>
      </c>
      <c r="C488" s="35" t="s">
        <v>401</v>
      </c>
      <c r="D488" s="36" t="s">
        <v>53</v>
      </c>
      <c r="E488" s="37" t="s">
        <v>779</v>
      </c>
      <c r="F488" s="35" t="s">
        <v>411</v>
      </c>
      <c r="G488" s="7"/>
      <c r="H488" s="7"/>
      <c r="I488" s="12"/>
    </row>
    <row r="489" spans="1:9" ht="25.5" x14ac:dyDescent="0.2">
      <c r="A489" s="35" t="str">
        <f>HYPERLINK("https://mississippidhs.jamacloud.com/perspective.req?projectId=53&amp;docId=28415","LSRP-SHRQ-484")</f>
        <v>LSRP-SHRQ-484</v>
      </c>
      <c r="B489" s="8" t="s">
        <v>834</v>
      </c>
      <c r="C489" s="35" t="s">
        <v>401</v>
      </c>
      <c r="D489" s="36" t="s">
        <v>53</v>
      </c>
      <c r="E489" s="37" t="s">
        <v>779</v>
      </c>
      <c r="F489" s="35" t="s">
        <v>411</v>
      </c>
      <c r="G489" s="7"/>
      <c r="H489" s="7"/>
      <c r="I489" s="12"/>
    </row>
    <row r="490" spans="1:9" ht="38.25" x14ac:dyDescent="0.2">
      <c r="A490" s="35" t="str">
        <f>HYPERLINK("https://mississippidhs.jamacloud.com/perspective.req?projectId=53&amp;docId=28416","LSRP-SHRQ-485")</f>
        <v>LSRP-SHRQ-485</v>
      </c>
      <c r="B490" s="8" t="s">
        <v>835</v>
      </c>
      <c r="C490" s="35" t="s">
        <v>401</v>
      </c>
      <c r="D490" s="36" t="s">
        <v>53</v>
      </c>
      <c r="E490" s="37" t="s">
        <v>779</v>
      </c>
      <c r="F490" s="35" t="s">
        <v>411</v>
      </c>
      <c r="G490" s="7"/>
      <c r="H490" s="7"/>
      <c r="I490" s="12"/>
    </row>
    <row r="491" spans="1:9" ht="51" x14ac:dyDescent="0.2">
      <c r="A491" s="35" t="str">
        <f>HYPERLINK("https://mississippidhs.jamacloud.com/perspective.req?projectId=53&amp;docId=28417","LSRP-SHRQ-486")</f>
        <v>LSRP-SHRQ-486</v>
      </c>
      <c r="B491" s="8" t="s">
        <v>836</v>
      </c>
      <c r="C491" s="35" t="s">
        <v>401</v>
      </c>
      <c r="D491" s="36" t="s">
        <v>53</v>
      </c>
      <c r="E491" s="37" t="s">
        <v>779</v>
      </c>
      <c r="F491" s="35" t="s">
        <v>411</v>
      </c>
      <c r="G491" s="7"/>
      <c r="H491" s="7"/>
      <c r="I491" s="12"/>
    </row>
    <row r="492" spans="1:9" ht="51" x14ac:dyDescent="0.2">
      <c r="A492" s="35" t="str">
        <f>HYPERLINK("https://mississippidhs.jamacloud.com/perspective.req?projectId=53&amp;docId=28418","LSRP-SHRQ-487")</f>
        <v>LSRP-SHRQ-487</v>
      </c>
      <c r="B492" s="8" t="s">
        <v>837</v>
      </c>
      <c r="C492" s="35" t="s">
        <v>401</v>
      </c>
      <c r="D492" s="36" t="s">
        <v>53</v>
      </c>
      <c r="E492" s="37" t="s">
        <v>779</v>
      </c>
      <c r="F492" s="35" t="s">
        <v>411</v>
      </c>
      <c r="G492" s="7"/>
      <c r="H492" s="7"/>
      <c r="I492" s="12"/>
    </row>
    <row r="493" spans="1:9" ht="51" x14ac:dyDescent="0.2">
      <c r="A493" s="35" t="str">
        <f>HYPERLINK("https://mississippidhs.jamacloud.com/perspective.req?projectId=53&amp;docId=28419","LSRP-SHRQ-488")</f>
        <v>LSRP-SHRQ-488</v>
      </c>
      <c r="B493" s="8" t="s">
        <v>838</v>
      </c>
      <c r="C493" s="35" t="s">
        <v>401</v>
      </c>
      <c r="D493" s="36" t="s">
        <v>53</v>
      </c>
      <c r="E493" s="37" t="s">
        <v>779</v>
      </c>
      <c r="F493" s="35" t="s">
        <v>411</v>
      </c>
      <c r="G493" s="7"/>
      <c r="H493" s="7"/>
      <c r="I493" s="12"/>
    </row>
    <row r="494" spans="1:9" ht="25.5" x14ac:dyDescent="0.2">
      <c r="A494" s="35" t="str">
        <f>HYPERLINK("https://mississippidhs.jamacloud.com/perspective.req?projectId=53&amp;docId=28420","LSRP-SHRQ-489")</f>
        <v>LSRP-SHRQ-489</v>
      </c>
      <c r="B494" s="8" t="s">
        <v>839</v>
      </c>
      <c r="C494" s="35" t="s">
        <v>401</v>
      </c>
      <c r="D494" s="36" t="s">
        <v>53</v>
      </c>
      <c r="E494" s="37" t="s">
        <v>779</v>
      </c>
      <c r="F494" s="35" t="s">
        <v>411</v>
      </c>
      <c r="G494" s="7"/>
      <c r="H494" s="7"/>
      <c r="I494" s="12"/>
    </row>
    <row r="495" spans="1:9" ht="38.25" x14ac:dyDescent="0.2">
      <c r="A495" s="35" t="str">
        <f>HYPERLINK("https://mississippidhs.jamacloud.com/perspective.req?projectId=53&amp;docId=28421","LSRP-SHRQ-490")</f>
        <v>LSRP-SHRQ-490</v>
      </c>
      <c r="B495" s="8" t="s">
        <v>840</v>
      </c>
      <c r="C495" s="35" t="s">
        <v>401</v>
      </c>
      <c r="D495" s="36" t="s">
        <v>53</v>
      </c>
      <c r="E495" s="37" t="s">
        <v>779</v>
      </c>
      <c r="F495" s="35" t="s">
        <v>411</v>
      </c>
      <c r="G495" s="7"/>
      <c r="H495" s="7"/>
      <c r="I495" s="12"/>
    </row>
    <row r="496" spans="1:9" ht="38.25" x14ac:dyDescent="0.2">
      <c r="A496" s="35" t="str">
        <f>HYPERLINK("https://mississippidhs.jamacloud.com/perspective.req?projectId=53&amp;docId=28422","LSRP-SHRQ-491")</f>
        <v>LSRP-SHRQ-491</v>
      </c>
      <c r="B496" s="8" t="s">
        <v>841</v>
      </c>
      <c r="C496" s="35" t="s">
        <v>401</v>
      </c>
      <c r="D496" s="36" t="s">
        <v>53</v>
      </c>
      <c r="E496" s="37" t="s">
        <v>779</v>
      </c>
      <c r="F496" s="35" t="s">
        <v>411</v>
      </c>
      <c r="G496" s="7"/>
      <c r="H496" s="7"/>
      <c r="I496" s="12"/>
    </row>
    <row r="497" spans="1:9" ht="51" x14ac:dyDescent="0.2">
      <c r="A497" s="35" t="str">
        <f>HYPERLINK("https://mississippidhs.jamacloud.com/perspective.req?projectId=53&amp;docId=28423","LSRP-SHRQ-492")</f>
        <v>LSRP-SHRQ-492</v>
      </c>
      <c r="B497" s="8" t="s">
        <v>842</v>
      </c>
      <c r="C497" s="35" t="s">
        <v>401</v>
      </c>
      <c r="D497" s="36" t="s">
        <v>53</v>
      </c>
      <c r="E497" s="37" t="s">
        <v>779</v>
      </c>
      <c r="F497" s="35" t="s">
        <v>411</v>
      </c>
      <c r="G497" s="7"/>
      <c r="H497" s="7"/>
      <c r="I497" s="12"/>
    </row>
    <row r="498" spans="1:9" ht="51" x14ac:dyDescent="0.2">
      <c r="A498" s="35" t="str">
        <f>HYPERLINK("https://mississippidhs.jamacloud.com/perspective.req?projectId=53&amp;docId=28424","LSRP-SHRQ-493")</f>
        <v>LSRP-SHRQ-493</v>
      </c>
      <c r="B498" s="8" t="s">
        <v>843</v>
      </c>
      <c r="C498" s="35" t="s">
        <v>401</v>
      </c>
      <c r="D498" s="36" t="s">
        <v>53</v>
      </c>
      <c r="E498" s="37" t="s">
        <v>779</v>
      </c>
      <c r="F498" s="35" t="s">
        <v>411</v>
      </c>
      <c r="G498" s="7"/>
      <c r="H498" s="7"/>
      <c r="I498" s="12"/>
    </row>
    <row r="499" spans="1:9" ht="51" x14ac:dyDescent="0.2">
      <c r="A499" s="35" t="str">
        <f>HYPERLINK("https://mississippidhs.jamacloud.com/perspective.req?projectId=53&amp;docId=28425","LSRP-SHRQ-494")</f>
        <v>LSRP-SHRQ-494</v>
      </c>
      <c r="B499" s="8" t="s">
        <v>844</v>
      </c>
      <c r="C499" s="35" t="s">
        <v>401</v>
      </c>
      <c r="D499" s="36" t="s">
        <v>53</v>
      </c>
      <c r="E499" s="37" t="s">
        <v>779</v>
      </c>
      <c r="F499" s="35" t="s">
        <v>411</v>
      </c>
      <c r="G499" s="7"/>
      <c r="H499" s="7"/>
      <c r="I499" s="12"/>
    </row>
    <row r="500" spans="1:9" ht="38.25" x14ac:dyDescent="0.2">
      <c r="A500" s="35" t="str">
        <f>HYPERLINK("https://mississippidhs.jamacloud.com/perspective.req?projectId=53&amp;docId=28426","LSRP-SHRQ-495")</f>
        <v>LSRP-SHRQ-495</v>
      </c>
      <c r="B500" s="8" t="s">
        <v>845</v>
      </c>
      <c r="C500" s="35" t="s">
        <v>401</v>
      </c>
      <c r="D500" s="36" t="s">
        <v>53</v>
      </c>
      <c r="E500" s="37" t="s">
        <v>779</v>
      </c>
      <c r="F500" s="35" t="s">
        <v>411</v>
      </c>
      <c r="G500" s="7"/>
      <c r="H500" s="7"/>
      <c r="I500" s="12"/>
    </row>
    <row r="501" spans="1:9" ht="51" x14ac:dyDescent="0.2">
      <c r="A501" s="35" t="str">
        <f>HYPERLINK("https://mississippidhs.jamacloud.com/perspective.req?projectId=53&amp;docId=28427","LSRP-SHRQ-496")</f>
        <v>LSRP-SHRQ-496</v>
      </c>
      <c r="B501" s="8" t="s">
        <v>846</v>
      </c>
      <c r="C501" s="35" t="s">
        <v>401</v>
      </c>
      <c r="D501" s="36" t="s">
        <v>53</v>
      </c>
      <c r="E501" s="37" t="s">
        <v>779</v>
      </c>
      <c r="F501" s="35" t="s">
        <v>411</v>
      </c>
      <c r="G501" s="7"/>
      <c r="H501" s="7"/>
      <c r="I501" s="12"/>
    </row>
    <row r="502" spans="1:9" ht="38.25" x14ac:dyDescent="0.2">
      <c r="A502" s="35" t="str">
        <f>HYPERLINK("https://mississippidhs.jamacloud.com/perspective.req?projectId=53&amp;docId=28428","LSRP-SHRQ-497")</f>
        <v>LSRP-SHRQ-497</v>
      </c>
      <c r="B502" s="8" t="s">
        <v>847</v>
      </c>
      <c r="C502" s="35" t="s">
        <v>401</v>
      </c>
      <c r="D502" s="36" t="s">
        <v>53</v>
      </c>
      <c r="E502" s="37" t="s">
        <v>779</v>
      </c>
      <c r="F502" s="35" t="s">
        <v>411</v>
      </c>
      <c r="G502" s="7"/>
      <c r="H502" s="7"/>
      <c r="I502" s="12"/>
    </row>
    <row r="503" spans="1:9" ht="51" x14ac:dyDescent="0.2">
      <c r="A503" s="35" t="str">
        <f>HYPERLINK("https://mississippidhs.jamacloud.com/perspective.req?projectId=53&amp;docId=28429","LSRP-SHRQ-498")</f>
        <v>LSRP-SHRQ-498</v>
      </c>
      <c r="B503" s="8" t="s">
        <v>848</v>
      </c>
      <c r="C503" s="35" t="s">
        <v>401</v>
      </c>
      <c r="D503" s="36" t="s">
        <v>53</v>
      </c>
      <c r="E503" s="37" t="s">
        <v>779</v>
      </c>
      <c r="F503" s="35" t="s">
        <v>411</v>
      </c>
      <c r="G503" s="7"/>
      <c r="H503" s="7"/>
      <c r="I503" s="12"/>
    </row>
    <row r="504" spans="1:9" ht="38.25" x14ac:dyDescent="0.2">
      <c r="A504" s="35" t="str">
        <f>HYPERLINK("https://mississippidhs.jamacloud.com/perspective.req?projectId=53&amp;docId=28430","LSRP-SHRQ-499")</f>
        <v>LSRP-SHRQ-499</v>
      </c>
      <c r="B504" s="8" t="s">
        <v>849</v>
      </c>
      <c r="C504" s="35" t="s">
        <v>401</v>
      </c>
      <c r="D504" s="36" t="s">
        <v>53</v>
      </c>
      <c r="E504" s="37" t="s">
        <v>779</v>
      </c>
      <c r="F504" s="35" t="s">
        <v>411</v>
      </c>
      <c r="G504" s="7"/>
      <c r="H504" s="7"/>
      <c r="I504" s="12"/>
    </row>
    <row r="505" spans="1:9" ht="38.25" x14ac:dyDescent="0.2">
      <c r="A505" s="35" t="str">
        <f>HYPERLINK("https://mississippidhs.jamacloud.com/perspective.req?projectId=53&amp;docId=28431","LSRP-SHRQ-500")</f>
        <v>LSRP-SHRQ-500</v>
      </c>
      <c r="B505" s="8" t="s">
        <v>850</v>
      </c>
      <c r="C505" s="35" t="s">
        <v>401</v>
      </c>
      <c r="D505" s="36" t="s">
        <v>53</v>
      </c>
      <c r="E505" s="37" t="s">
        <v>779</v>
      </c>
      <c r="F505" s="35" t="s">
        <v>411</v>
      </c>
      <c r="G505" s="7"/>
      <c r="H505" s="7"/>
      <c r="I505" s="12"/>
    </row>
    <row r="506" spans="1:9" ht="38.25" x14ac:dyDescent="0.2">
      <c r="A506" s="35" t="str">
        <f>HYPERLINK("https://mississippidhs.jamacloud.com/perspective.req?projectId=53&amp;docId=28432","LSRP-SHRQ-501")</f>
        <v>LSRP-SHRQ-501</v>
      </c>
      <c r="B506" s="8" t="s">
        <v>851</v>
      </c>
      <c r="C506" s="35" t="s">
        <v>401</v>
      </c>
      <c r="D506" s="36" t="s">
        <v>53</v>
      </c>
      <c r="E506" s="37" t="s">
        <v>779</v>
      </c>
      <c r="F506" s="35" t="s">
        <v>411</v>
      </c>
      <c r="G506" s="7"/>
      <c r="H506" s="7"/>
      <c r="I506" s="12"/>
    </row>
    <row r="507" spans="1:9" ht="25.5" x14ac:dyDescent="0.2">
      <c r="A507" s="35" t="str">
        <f>HYPERLINK("https://mississippidhs.jamacloud.com/perspective.req?projectId=53&amp;docId=28433","LSRP-SHRQ-502")</f>
        <v>LSRP-SHRQ-502</v>
      </c>
      <c r="B507" s="8" t="s">
        <v>852</v>
      </c>
      <c r="C507" s="35" t="s">
        <v>401</v>
      </c>
      <c r="D507" s="36" t="s">
        <v>53</v>
      </c>
      <c r="E507" s="37" t="s">
        <v>779</v>
      </c>
      <c r="F507" s="35" t="s">
        <v>411</v>
      </c>
      <c r="G507" s="7"/>
      <c r="H507" s="7"/>
      <c r="I507" s="12"/>
    </row>
    <row r="508" spans="1:9" ht="38.25" x14ac:dyDescent="0.2">
      <c r="A508" s="35" t="str">
        <f>HYPERLINK("https://mississippidhs.jamacloud.com/perspective.req?projectId=53&amp;docId=28434","LSRP-SHRQ-503")</f>
        <v>LSRP-SHRQ-503</v>
      </c>
      <c r="B508" s="8" t="s">
        <v>853</v>
      </c>
      <c r="C508" s="35" t="s">
        <v>401</v>
      </c>
      <c r="D508" s="36" t="s">
        <v>53</v>
      </c>
      <c r="E508" s="37" t="s">
        <v>779</v>
      </c>
      <c r="F508" s="35" t="s">
        <v>411</v>
      </c>
      <c r="G508" s="7"/>
      <c r="H508" s="7"/>
      <c r="I508" s="12"/>
    </row>
    <row r="509" spans="1:9" ht="38.25" x14ac:dyDescent="0.2">
      <c r="A509" s="35" t="str">
        <f>HYPERLINK("https://mississippidhs.jamacloud.com/perspective.req?projectId=53&amp;docId=28435","LSRP-SHRQ-504")</f>
        <v>LSRP-SHRQ-504</v>
      </c>
      <c r="B509" s="8" t="s">
        <v>854</v>
      </c>
      <c r="C509" s="35" t="s">
        <v>401</v>
      </c>
      <c r="D509" s="36" t="s">
        <v>53</v>
      </c>
      <c r="E509" s="37" t="s">
        <v>779</v>
      </c>
      <c r="F509" s="35" t="s">
        <v>411</v>
      </c>
      <c r="G509" s="7"/>
      <c r="H509" s="7"/>
      <c r="I509" s="12"/>
    </row>
    <row r="510" spans="1:9" ht="38.25" x14ac:dyDescent="0.2">
      <c r="A510" s="35" t="str">
        <f>HYPERLINK("https://mississippidhs.jamacloud.com/perspective.req?projectId=53&amp;docId=28436","LSRP-SHRQ-505")</f>
        <v>LSRP-SHRQ-505</v>
      </c>
      <c r="B510" s="8" t="s">
        <v>855</v>
      </c>
      <c r="C510" s="35" t="s">
        <v>401</v>
      </c>
      <c r="D510" s="36" t="s">
        <v>53</v>
      </c>
      <c r="E510" s="37" t="s">
        <v>779</v>
      </c>
      <c r="F510" s="35" t="s">
        <v>411</v>
      </c>
      <c r="G510" s="7"/>
      <c r="H510" s="7"/>
      <c r="I510" s="12"/>
    </row>
    <row r="511" spans="1:9" ht="51" x14ac:dyDescent="0.2">
      <c r="A511" s="35" t="str">
        <f>HYPERLINK("https://mississippidhs.jamacloud.com/perspective.req?projectId=53&amp;docId=28437","LSRP-SHRQ-506")</f>
        <v>LSRP-SHRQ-506</v>
      </c>
      <c r="B511" s="8" t="s">
        <v>856</v>
      </c>
      <c r="C511" s="35" t="s">
        <v>401</v>
      </c>
      <c r="D511" s="36" t="s">
        <v>53</v>
      </c>
      <c r="E511" s="37" t="s">
        <v>779</v>
      </c>
      <c r="F511" s="35" t="s">
        <v>411</v>
      </c>
      <c r="G511" s="7"/>
      <c r="H511" s="7"/>
      <c r="I511" s="12"/>
    </row>
    <row r="512" spans="1:9" ht="63.75" x14ac:dyDescent="0.2">
      <c r="A512" s="35" t="str">
        <f>HYPERLINK("https://mississippidhs.jamacloud.com/perspective.req?projectId=53&amp;docId=28438","LSRP-SHRQ-507")</f>
        <v>LSRP-SHRQ-507</v>
      </c>
      <c r="B512" s="8" t="s">
        <v>857</v>
      </c>
      <c r="C512" s="35" t="s">
        <v>401</v>
      </c>
      <c r="D512" s="36" t="s">
        <v>53</v>
      </c>
      <c r="E512" s="37" t="s">
        <v>779</v>
      </c>
      <c r="F512" s="35" t="s">
        <v>411</v>
      </c>
      <c r="G512" s="7"/>
      <c r="H512" s="7"/>
      <c r="I512" s="12"/>
    </row>
    <row r="513" spans="1:9" ht="89.25" x14ac:dyDescent="0.2">
      <c r="A513" s="35" t="str">
        <f>HYPERLINK("https://mississippidhs.jamacloud.com/perspective.req?projectId=53&amp;docId=28439","LSRP-SHRQ-508")</f>
        <v>LSRP-SHRQ-508</v>
      </c>
      <c r="B513" s="8" t="s">
        <v>858</v>
      </c>
      <c r="C513" s="35" t="s">
        <v>401</v>
      </c>
      <c r="D513" s="36" t="s">
        <v>53</v>
      </c>
      <c r="E513" s="37" t="s">
        <v>779</v>
      </c>
      <c r="F513" s="35" t="s">
        <v>411</v>
      </c>
      <c r="G513" s="7"/>
      <c r="H513" s="7"/>
      <c r="I513" s="12"/>
    </row>
    <row r="514" spans="1:9" ht="25.5" x14ac:dyDescent="0.2">
      <c r="A514" s="35" t="str">
        <f>HYPERLINK("https://mississippidhs.jamacloud.com/perspective.req?projectId=53&amp;docId=28440","LSRP-SHRQ-509")</f>
        <v>LSRP-SHRQ-509</v>
      </c>
      <c r="B514" s="8" t="s">
        <v>859</v>
      </c>
      <c r="C514" s="35" t="s">
        <v>401</v>
      </c>
      <c r="D514" s="36" t="s">
        <v>53</v>
      </c>
      <c r="E514" s="37" t="s">
        <v>779</v>
      </c>
      <c r="F514" s="35" t="s">
        <v>411</v>
      </c>
      <c r="G514" s="7"/>
      <c r="H514" s="7"/>
      <c r="I514" s="12"/>
    </row>
    <row r="515" spans="1:9" ht="38.25" x14ac:dyDescent="0.2">
      <c r="A515" s="35" t="str">
        <f>HYPERLINK("https://mississippidhs.jamacloud.com/perspective.req?projectId=53&amp;docId=28441","LSRP-SHRQ-510")</f>
        <v>LSRP-SHRQ-510</v>
      </c>
      <c r="B515" s="8" t="s">
        <v>860</v>
      </c>
      <c r="C515" s="35" t="s">
        <v>401</v>
      </c>
      <c r="D515" s="36" t="s">
        <v>53</v>
      </c>
      <c r="E515" s="37" t="s">
        <v>779</v>
      </c>
      <c r="F515" s="35" t="s">
        <v>411</v>
      </c>
      <c r="G515" s="7"/>
      <c r="H515" s="7"/>
      <c r="I515" s="12"/>
    </row>
    <row r="516" spans="1:9" ht="63.75" x14ac:dyDescent="0.2">
      <c r="A516" s="35" t="str">
        <f>HYPERLINK("https://mississippidhs.jamacloud.com/perspective.req?projectId=53&amp;docId=28442","LSRP-SHRQ-511")</f>
        <v>LSRP-SHRQ-511</v>
      </c>
      <c r="B516" s="8" t="s">
        <v>861</v>
      </c>
      <c r="C516" s="35" t="s">
        <v>401</v>
      </c>
      <c r="D516" s="36" t="s">
        <v>53</v>
      </c>
      <c r="E516" s="37" t="s">
        <v>779</v>
      </c>
      <c r="F516" s="35" t="s">
        <v>411</v>
      </c>
      <c r="G516" s="7"/>
      <c r="H516" s="7"/>
      <c r="I516" s="12"/>
    </row>
    <row r="517" spans="1:9" ht="38.25" x14ac:dyDescent="0.2">
      <c r="A517" s="35" t="str">
        <f>HYPERLINK("https://mississippidhs.jamacloud.com/perspective.req?projectId=53&amp;docId=28443","LSRP-SHRQ-512")</f>
        <v>LSRP-SHRQ-512</v>
      </c>
      <c r="B517" s="8" t="s">
        <v>862</v>
      </c>
      <c r="C517" s="35" t="s">
        <v>401</v>
      </c>
      <c r="D517" s="36" t="s">
        <v>53</v>
      </c>
      <c r="E517" s="37" t="s">
        <v>779</v>
      </c>
      <c r="F517" s="35" t="s">
        <v>411</v>
      </c>
      <c r="G517" s="7"/>
      <c r="H517" s="7"/>
      <c r="I517" s="12"/>
    </row>
    <row r="518" spans="1:9" ht="51" x14ac:dyDescent="0.2">
      <c r="A518" s="35" t="str">
        <f>HYPERLINK("https://mississippidhs.jamacloud.com/perspective.req?projectId=53&amp;docId=28444","LSRP-SHRQ-513")</f>
        <v>LSRP-SHRQ-513</v>
      </c>
      <c r="B518" s="8" t="s">
        <v>863</v>
      </c>
      <c r="C518" s="35" t="s">
        <v>401</v>
      </c>
      <c r="D518" s="36" t="s">
        <v>53</v>
      </c>
      <c r="E518" s="37" t="s">
        <v>779</v>
      </c>
      <c r="F518" s="35" t="s">
        <v>411</v>
      </c>
      <c r="G518" s="7"/>
      <c r="H518" s="7"/>
      <c r="I518" s="12"/>
    </row>
    <row r="519" spans="1:9" ht="38.25" x14ac:dyDescent="0.2">
      <c r="A519" s="35" t="str">
        <f>HYPERLINK("https://mississippidhs.jamacloud.com/perspective.req?projectId=53&amp;docId=28445","LSRP-SHRQ-514")</f>
        <v>LSRP-SHRQ-514</v>
      </c>
      <c r="B519" s="8" t="s">
        <v>864</v>
      </c>
      <c r="C519" s="35" t="s">
        <v>401</v>
      </c>
      <c r="D519" s="36" t="s">
        <v>53</v>
      </c>
      <c r="E519" s="37" t="s">
        <v>779</v>
      </c>
      <c r="F519" s="35" t="s">
        <v>411</v>
      </c>
      <c r="G519" s="7"/>
      <c r="H519" s="7"/>
      <c r="I519" s="12"/>
    </row>
    <row r="520" spans="1:9" ht="25.5" x14ac:dyDescent="0.2">
      <c r="A520" s="35" t="str">
        <f>HYPERLINK("https://mississippidhs.jamacloud.com/perspective.req?projectId=53&amp;docId=28446","LSRP-SHRQ-515")</f>
        <v>LSRP-SHRQ-515</v>
      </c>
      <c r="B520" s="8" t="s">
        <v>865</v>
      </c>
      <c r="C520" s="35" t="s">
        <v>401</v>
      </c>
      <c r="D520" s="36" t="s">
        <v>53</v>
      </c>
      <c r="E520" s="37" t="s">
        <v>779</v>
      </c>
      <c r="F520" s="35" t="s">
        <v>411</v>
      </c>
      <c r="G520" s="7"/>
      <c r="H520" s="7"/>
      <c r="I520" s="12"/>
    </row>
    <row r="521" spans="1:9" ht="25.5" x14ac:dyDescent="0.2">
      <c r="A521" s="35" t="str">
        <f>HYPERLINK("https://mississippidhs.jamacloud.com/perspective.req?projectId=53&amp;docId=28447","LSRP-SHRQ-516")</f>
        <v>LSRP-SHRQ-516</v>
      </c>
      <c r="B521" s="8" t="s">
        <v>866</v>
      </c>
      <c r="C521" s="35" t="s">
        <v>401</v>
      </c>
      <c r="D521" s="36" t="s">
        <v>53</v>
      </c>
      <c r="E521" s="37" t="s">
        <v>779</v>
      </c>
      <c r="F521" s="35" t="s">
        <v>411</v>
      </c>
      <c r="G521" s="7"/>
      <c r="H521" s="7"/>
      <c r="I521" s="12"/>
    </row>
    <row r="522" spans="1:9" ht="25.5" x14ac:dyDescent="0.2">
      <c r="A522" s="35" t="str">
        <f>HYPERLINK("https://mississippidhs.jamacloud.com/perspective.req?projectId=53&amp;docId=28448","LSRP-SHRQ-517")</f>
        <v>LSRP-SHRQ-517</v>
      </c>
      <c r="B522" s="8" t="s">
        <v>867</v>
      </c>
      <c r="C522" s="35" t="s">
        <v>401</v>
      </c>
      <c r="D522" s="36" t="s">
        <v>53</v>
      </c>
      <c r="E522" s="37" t="s">
        <v>779</v>
      </c>
      <c r="F522" s="35" t="s">
        <v>411</v>
      </c>
      <c r="G522" s="7"/>
      <c r="H522" s="7"/>
      <c r="I522" s="12"/>
    </row>
    <row r="523" spans="1:9" ht="25.5" x14ac:dyDescent="0.2">
      <c r="A523" s="35" t="str">
        <f>HYPERLINK("https://mississippidhs.jamacloud.com/perspective.req?projectId=53&amp;docId=28449","LSRP-SHRQ-518")</f>
        <v>LSRP-SHRQ-518</v>
      </c>
      <c r="B523" s="8" t="s">
        <v>868</v>
      </c>
      <c r="C523" s="35" t="s">
        <v>401</v>
      </c>
      <c r="D523" s="36" t="s">
        <v>53</v>
      </c>
      <c r="E523" s="37" t="s">
        <v>779</v>
      </c>
      <c r="F523" s="35" t="s">
        <v>411</v>
      </c>
      <c r="G523" s="7"/>
      <c r="H523" s="7"/>
      <c r="I523" s="12"/>
    </row>
    <row r="524" spans="1:9" ht="25.5" x14ac:dyDescent="0.2">
      <c r="A524" s="35" t="str">
        <f>HYPERLINK("https://mississippidhs.jamacloud.com/perspective.req?projectId=53&amp;docId=28450","LSRP-SHRQ-519")</f>
        <v>LSRP-SHRQ-519</v>
      </c>
      <c r="B524" s="8" t="s">
        <v>869</v>
      </c>
      <c r="C524" s="35" t="s">
        <v>401</v>
      </c>
      <c r="D524" s="36" t="s">
        <v>53</v>
      </c>
      <c r="E524" s="37" t="s">
        <v>779</v>
      </c>
      <c r="F524" s="35" t="s">
        <v>411</v>
      </c>
      <c r="G524" s="7"/>
      <c r="H524" s="7"/>
      <c r="I524" s="12"/>
    </row>
    <row r="525" spans="1:9" ht="25.5" x14ac:dyDescent="0.2">
      <c r="A525" s="35" t="str">
        <f>HYPERLINK("https://mississippidhs.jamacloud.com/perspective.req?projectId=53&amp;docId=28451","LSRP-SHRQ-520")</f>
        <v>LSRP-SHRQ-520</v>
      </c>
      <c r="B525" s="8" t="s">
        <v>870</v>
      </c>
      <c r="C525" s="35" t="s">
        <v>401</v>
      </c>
      <c r="D525" s="36" t="s">
        <v>53</v>
      </c>
      <c r="E525" s="37" t="s">
        <v>779</v>
      </c>
      <c r="F525" s="35" t="s">
        <v>411</v>
      </c>
      <c r="G525" s="7"/>
      <c r="H525" s="7"/>
      <c r="I525" s="12"/>
    </row>
    <row r="526" spans="1:9" ht="38.25" x14ac:dyDescent="0.2">
      <c r="A526" s="35" t="str">
        <f>HYPERLINK("https://mississippidhs.jamacloud.com/perspective.req?projectId=53&amp;docId=28452","LSRP-SHRQ-521")</f>
        <v>LSRP-SHRQ-521</v>
      </c>
      <c r="B526" s="8" t="s">
        <v>871</v>
      </c>
      <c r="C526" s="35" t="s">
        <v>401</v>
      </c>
      <c r="D526" s="36" t="s">
        <v>53</v>
      </c>
      <c r="E526" s="37" t="s">
        <v>779</v>
      </c>
      <c r="F526" s="35" t="s">
        <v>411</v>
      </c>
      <c r="G526" s="7"/>
      <c r="H526" s="7"/>
      <c r="I526" s="12"/>
    </row>
    <row r="527" spans="1:9" ht="38.25" x14ac:dyDescent="0.2">
      <c r="A527" s="35" t="str">
        <f>HYPERLINK("https://mississippidhs.jamacloud.com/perspective.req?projectId=53&amp;docId=28453","LSRP-SHRQ-522")</f>
        <v>LSRP-SHRQ-522</v>
      </c>
      <c r="B527" s="8" t="s">
        <v>872</v>
      </c>
      <c r="C527" s="35" t="s">
        <v>401</v>
      </c>
      <c r="D527" s="36" t="s">
        <v>53</v>
      </c>
      <c r="E527" s="37" t="s">
        <v>779</v>
      </c>
      <c r="F527" s="35" t="s">
        <v>411</v>
      </c>
      <c r="G527" s="7"/>
      <c r="H527" s="7"/>
      <c r="I527" s="12"/>
    </row>
    <row r="528" spans="1:9" ht="51" x14ac:dyDescent="0.2">
      <c r="A528" s="35" t="str">
        <f>HYPERLINK("https://mississippidhs.jamacloud.com/perspective.req?projectId=53&amp;docId=28454","LSRP-SHRQ-523")</f>
        <v>LSRP-SHRQ-523</v>
      </c>
      <c r="B528" s="8" t="s">
        <v>873</v>
      </c>
      <c r="C528" s="35" t="s">
        <v>401</v>
      </c>
      <c r="D528" s="36" t="s">
        <v>53</v>
      </c>
      <c r="E528" s="37" t="s">
        <v>779</v>
      </c>
      <c r="F528" s="35" t="s">
        <v>411</v>
      </c>
      <c r="G528" s="7"/>
      <c r="H528" s="7"/>
      <c r="I528" s="12"/>
    </row>
    <row r="529" spans="1:9" ht="25.5" x14ac:dyDescent="0.2">
      <c r="A529" s="35" t="str">
        <f>HYPERLINK("https://mississippidhs.jamacloud.com/perspective.req?projectId=53&amp;docId=28455","LSRP-SHRQ-524")</f>
        <v>LSRP-SHRQ-524</v>
      </c>
      <c r="B529" s="8" t="s">
        <v>874</v>
      </c>
      <c r="C529" s="35" t="s">
        <v>401</v>
      </c>
      <c r="D529" s="36" t="s">
        <v>53</v>
      </c>
      <c r="E529" s="37" t="s">
        <v>779</v>
      </c>
      <c r="F529" s="35" t="s">
        <v>411</v>
      </c>
      <c r="G529" s="7"/>
      <c r="H529" s="7"/>
      <c r="I529" s="12"/>
    </row>
    <row r="530" spans="1:9" ht="38.25" x14ac:dyDescent="0.2">
      <c r="A530" s="35" t="str">
        <f>HYPERLINK("https://mississippidhs.jamacloud.com/perspective.req?projectId=53&amp;docId=28456","LSRP-SHRQ-525")</f>
        <v>LSRP-SHRQ-525</v>
      </c>
      <c r="B530" s="8" t="s">
        <v>875</v>
      </c>
      <c r="C530" s="35" t="s">
        <v>401</v>
      </c>
      <c r="D530" s="36" t="s">
        <v>53</v>
      </c>
      <c r="E530" s="37" t="s">
        <v>779</v>
      </c>
      <c r="F530" s="35" t="s">
        <v>411</v>
      </c>
      <c r="G530" s="7"/>
      <c r="H530" s="7"/>
      <c r="I530" s="12"/>
    </row>
    <row r="531" spans="1:9" ht="51" x14ac:dyDescent="0.2">
      <c r="A531" s="35" t="str">
        <f>HYPERLINK("https://mississippidhs.jamacloud.com/perspective.req?projectId=53&amp;docId=28457","LSRP-SHRQ-526")</f>
        <v>LSRP-SHRQ-526</v>
      </c>
      <c r="B531" s="8" t="s">
        <v>876</v>
      </c>
      <c r="C531" s="35" t="s">
        <v>401</v>
      </c>
      <c r="D531" s="36" t="s">
        <v>53</v>
      </c>
      <c r="E531" s="37" t="s">
        <v>779</v>
      </c>
      <c r="F531" s="35" t="s">
        <v>411</v>
      </c>
      <c r="G531" s="7"/>
      <c r="H531" s="7"/>
      <c r="I531" s="12"/>
    </row>
    <row r="532" spans="1:9" ht="63.75" x14ac:dyDescent="0.2">
      <c r="A532" s="35" t="str">
        <f>HYPERLINK("https://mississippidhs.jamacloud.com/perspective.req?projectId=53&amp;docId=28458","LSRP-SHRQ-527")</f>
        <v>LSRP-SHRQ-527</v>
      </c>
      <c r="B532" s="8" t="s">
        <v>877</v>
      </c>
      <c r="C532" s="35" t="s">
        <v>401</v>
      </c>
      <c r="D532" s="36" t="s">
        <v>53</v>
      </c>
      <c r="E532" s="37" t="s">
        <v>779</v>
      </c>
      <c r="F532" s="35" t="s">
        <v>411</v>
      </c>
      <c r="G532" s="7"/>
      <c r="H532" s="7"/>
      <c r="I532" s="12"/>
    </row>
    <row r="533" spans="1:9" ht="25.5" x14ac:dyDescent="0.2">
      <c r="A533" s="35" t="str">
        <f>HYPERLINK("https://mississippidhs.jamacloud.com/perspective.req?projectId=53&amp;docId=28459","LSRP-SHRQ-528")</f>
        <v>LSRP-SHRQ-528</v>
      </c>
      <c r="B533" s="8" t="s">
        <v>878</v>
      </c>
      <c r="C533" s="35" t="s">
        <v>401</v>
      </c>
      <c r="D533" s="36" t="s">
        <v>53</v>
      </c>
      <c r="E533" s="37" t="s">
        <v>779</v>
      </c>
      <c r="F533" s="35" t="s">
        <v>411</v>
      </c>
      <c r="G533" s="7"/>
      <c r="H533" s="7"/>
      <c r="I533" s="12"/>
    </row>
    <row r="534" spans="1:9" ht="38.25" x14ac:dyDescent="0.2">
      <c r="A534" s="35" t="str">
        <f>HYPERLINK("https://mississippidhs.jamacloud.com/perspective.req?projectId=53&amp;docId=28460","LSRP-SHRQ-529")</f>
        <v>LSRP-SHRQ-529</v>
      </c>
      <c r="B534" s="8" t="s">
        <v>879</v>
      </c>
      <c r="C534" s="35" t="s">
        <v>401</v>
      </c>
      <c r="D534" s="36" t="s">
        <v>53</v>
      </c>
      <c r="E534" s="37" t="s">
        <v>779</v>
      </c>
      <c r="F534" s="35" t="s">
        <v>411</v>
      </c>
      <c r="G534" s="7"/>
      <c r="H534" s="7"/>
      <c r="I534" s="12"/>
    </row>
    <row r="535" spans="1:9" ht="38.25" x14ac:dyDescent="0.2">
      <c r="A535" s="35" t="str">
        <f>HYPERLINK("https://mississippidhs.jamacloud.com/perspective.req?projectId=53&amp;docId=28461","LSRP-SHRQ-530")</f>
        <v>LSRP-SHRQ-530</v>
      </c>
      <c r="B535" s="8" t="s">
        <v>880</v>
      </c>
      <c r="C535" s="35" t="s">
        <v>401</v>
      </c>
      <c r="D535" s="36" t="s">
        <v>53</v>
      </c>
      <c r="E535" s="37" t="s">
        <v>779</v>
      </c>
      <c r="F535" s="35" t="s">
        <v>411</v>
      </c>
      <c r="G535" s="7"/>
      <c r="H535" s="7"/>
      <c r="I535" s="12"/>
    </row>
    <row r="536" spans="1:9" ht="38.25" x14ac:dyDescent="0.2">
      <c r="A536" s="35" t="str">
        <f>HYPERLINK("https://mississippidhs.jamacloud.com/perspective.req?projectId=53&amp;docId=28462","LSRP-SHRQ-531")</f>
        <v>LSRP-SHRQ-531</v>
      </c>
      <c r="B536" s="8" t="s">
        <v>881</v>
      </c>
      <c r="C536" s="35" t="s">
        <v>401</v>
      </c>
      <c r="D536" s="36" t="s">
        <v>53</v>
      </c>
      <c r="E536" s="37" t="s">
        <v>779</v>
      </c>
      <c r="F536" s="35" t="s">
        <v>411</v>
      </c>
      <c r="G536" s="7"/>
      <c r="H536" s="7"/>
      <c r="I536" s="12"/>
    </row>
    <row r="537" spans="1:9" ht="38.25" x14ac:dyDescent="0.2">
      <c r="A537" s="35" t="str">
        <f>HYPERLINK("https://mississippidhs.jamacloud.com/perspective.req?projectId=53&amp;docId=28463","LSRP-SHRQ-532")</f>
        <v>LSRP-SHRQ-532</v>
      </c>
      <c r="B537" s="8" t="s">
        <v>882</v>
      </c>
      <c r="C537" s="35" t="s">
        <v>401</v>
      </c>
      <c r="D537" s="36" t="s">
        <v>53</v>
      </c>
      <c r="E537" s="37" t="s">
        <v>779</v>
      </c>
      <c r="F537" s="35" t="s">
        <v>411</v>
      </c>
      <c r="G537" s="7"/>
      <c r="H537" s="7"/>
      <c r="I537" s="12"/>
    </row>
    <row r="538" spans="1:9" ht="38.25" x14ac:dyDescent="0.2">
      <c r="A538" s="35" t="str">
        <f>HYPERLINK("https://mississippidhs.jamacloud.com/perspective.req?projectId=53&amp;docId=28464","LSRP-SHRQ-533")</f>
        <v>LSRP-SHRQ-533</v>
      </c>
      <c r="B538" s="8" t="s">
        <v>883</v>
      </c>
      <c r="C538" s="35" t="s">
        <v>401</v>
      </c>
      <c r="D538" s="36" t="s">
        <v>53</v>
      </c>
      <c r="E538" s="37" t="s">
        <v>779</v>
      </c>
      <c r="F538" s="35" t="s">
        <v>411</v>
      </c>
      <c r="G538" s="7"/>
      <c r="H538" s="7"/>
      <c r="I538" s="12"/>
    </row>
    <row r="539" spans="1:9" ht="25.5" x14ac:dyDescent="0.2">
      <c r="A539" s="35" t="str">
        <f>HYPERLINK("https://mississippidhs.jamacloud.com/perspective.req?projectId=53&amp;docId=28465","LSRP-SHRQ-534")</f>
        <v>LSRP-SHRQ-534</v>
      </c>
      <c r="B539" s="8" t="s">
        <v>884</v>
      </c>
      <c r="C539" s="35" t="s">
        <v>401</v>
      </c>
      <c r="D539" s="36" t="s">
        <v>53</v>
      </c>
      <c r="E539" s="37" t="s">
        <v>779</v>
      </c>
      <c r="F539" s="35" t="s">
        <v>411</v>
      </c>
      <c r="G539" s="7"/>
      <c r="H539" s="7"/>
      <c r="I539" s="12"/>
    </row>
    <row r="540" spans="1:9" ht="25.5" x14ac:dyDescent="0.2">
      <c r="A540" s="35" t="str">
        <f>HYPERLINK("https://mississippidhs.jamacloud.com/perspective.req?projectId=53&amp;docId=28466","LSRP-SHRQ-535")</f>
        <v>LSRP-SHRQ-535</v>
      </c>
      <c r="B540" s="8" t="s">
        <v>885</v>
      </c>
      <c r="C540" s="35" t="s">
        <v>401</v>
      </c>
      <c r="D540" s="36" t="s">
        <v>53</v>
      </c>
      <c r="E540" s="37" t="s">
        <v>779</v>
      </c>
      <c r="F540" s="35" t="s">
        <v>411</v>
      </c>
      <c r="G540" s="7"/>
      <c r="H540" s="7"/>
      <c r="I540" s="12"/>
    </row>
    <row r="541" spans="1:9" ht="63.75" x14ac:dyDescent="0.2">
      <c r="A541" s="35" t="str">
        <f>HYPERLINK("https://mississippidhs.jamacloud.com/perspective.req?projectId=53&amp;docId=28467","LSRP-SHRQ-536")</f>
        <v>LSRP-SHRQ-536</v>
      </c>
      <c r="B541" s="8" t="s">
        <v>886</v>
      </c>
      <c r="C541" s="35" t="s">
        <v>401</v>
      </c>
      <c r="D541" s="36" t="s">
        <v>53</v>
      </c>
      <c r="E541" s="37" t="s">
        <v>779</v>
      </c>
      <c r="F541" s="35" t="s">
        <v>411</v>
      </c>
      <c r="G541" s="7"/>
      <c r="H541" s="7"/>
      <c r="I541" s="12"/>
    </row>
    <row r="542" spans="1:9" ht="25.5" x14ac:dyDescent="0.2">
      <c r="A542" s="35" t="str">
        <f>HYPERLINK("https://mississippidhs.jamacloud.com/perspective.req?projectId=53&amp;docId=28468","LSRP-SHRQ-537")</f>
        <v>LSRP-SHRQ-537</v>
      </c>
      <c r="B542" s="8" t="s">
        <v>887</v>
      </c>
      <c r="C542" s="35" t="s">
        <v>401</v>
      </c>
      <c r="D542" s="36" t="s">
        <v>53</v>
      </c>
      <c r="E542" s="37" t="s">
        <v>779</v>
      </c>
      <c r="F542" s="35" t="s">
        <v>411</v>
      </c>
      <c r="G542" s="7"/>
      <c r="H542" s="7"/>
      <c r="I542" s="12"/>
    </row>
    <row r="543" spans="1:9" ht="38.25" x14ac:dyDescent="0.2">
      <c r="A543" s="35" t="str">
        <f>HYPERLINK("https://mississippidhs.jamacloud.com/perspective.req?projectId=53&amp;docId=28469","LSRP-SHRQ-538")</f>
        <v>LSRP-SHRQ-538</v>
      </c>
      <c r="B543" s="8" t="s">
        <v>888</v>
      </c>
      <c r="C543" s="35" t="s">
        <v>401</v>
      </c>
      <c r="D543" s="36" t="s">
        <v>53</v>
      </c>
      <c r="E543" s="37" t="s">
        <v>779</v>
      </c>
      <c r="F543" s="35" t="s">
        <v>411</v>
      </c>
      <c r="G543" s="7"/>
      <c r="H543" s="7"/>
      <c r="I543" s="12"/>
    </row>
    <row r="544" spans="1:9" ht="25.5" x14ac:dyDescent="0.2">
      <c r="A544" s="35" t="str">
        <f>HYPERLINK("https://mississippidhs.jamacloud.com/perspective.req?projectId=53&amp;docId=28470","LSRP-SHRQ-539")</f>
        <v>LSRP-SHRQ-539</v>
      </c>
      <c r="B544" s="8" t="s">
        <v>889</v>
      </c>
      <c r="C544" s="35" t="s">
        <v>401</v>
      </c>
      <c r="D544" s="36" t="s">
        <v>53</v>
      </c>
      <c r="E544" s="37" t="s">
        <v>779</v>
      </c>
      <c r="F544" s="35" t="s">
        <v>411</v>
      </c>
      <c r="G544" s="7"/>
      <c r="H544" s="7"/>
      <c r="I544" s="12"/>
    </row>
    <row r="545" spans="1:9" ht="38.25" x14ac:dyDescent="0.2">
      <c r="A545" s="35" t="str">
        <f>HYPERLINK("https://mississippidhs.jamacloud.com/perspective.req?projectId=53&amp;docId=28471","LSRP-SHRQ-540")</f>
        <v>LSRP-SHRQ-540</v>
      </c>
      <c r="B545" s="8" t="s">
        <v>890</v>
      </c>
      <c r="C545" s="35" t="s">
        <v>401</v>
      </c>
      <c r="D545" s="36" t="s">
        <v>53</v>
      </c>
      <c r="E545" s="37" t="s">
        <v>779</v>
      </c>
      <c r="F545" s="35" t="s">
        <v>411</v>
      </c>
      <c r="G545" s="7"/>
      <c r="H545" s="7"/>
      <c r="I545" s="12"/>
    </row>
    <row r="546" spans="1:9" ht="38.25" x14ac:dyDescent="0.2">
      <c r="A546" s="35" t="str">
        <f>HYPERLINK("https://mississippidhs.jamacloud.com/perspective.req?projectId=53&amp;docId=28472","LSRP-SHRQ-541")</f>
        <v>LSRP-SHRQ-541</v>
      </c>
      <c r="B546" s="8" t="s">
        <v>891</v>
      </c>
      <c r="C546" s="35" t="s">
        <v>401</v>
      </c>
      <c r="D546" s="36" t="s">
        <v>53</v>
      </c>
      <c r="E546" s="37" t="s">
        <v>779</v>
      </c>
      <c r="F546" s="35" t="s">
        <v>411</v>
      </c>
      <c r="G546" s="7"/>
      <c r="H546" s="7"/>
      <c r="I546" s="12"/>
    </row>
    <row r="547" spans="1:9" ht="25.5" x14ac:dyDescent="0.2">
      <c r="A547" s="35" t="str">
        <f>HYPERLINK("https://mississippidhs.jamacloud.com/perspective.req?projectId=53&amp;docId=28473","LSRP-SHRQ-542")</f>
        <v>LSRP-SHRQ-542</v>
      </c>
      <c r="B547" s="8" t="s">
        <v>892</v>
      </c>
      <c r="C547" s="35" t="s">
        <v>401</v>
      </c>
      <c r="D547" s="36" t="s">
        <v>53</v>
      </c>
      <c r="E547" s="37" t="s">
        <v>779</v>
      </c>
      <c r="F547" s="35" t="s">
        <v>411</v>
      </c>
      <c r="G547" s="7"/>
      <c r="H547" s="7"/>
      <c r="I547" s="12"/>
    </row>
    <row r="548" spans="1:9" ht="38.25" x14ac:dyDescent="0.2">
      <c r="A548" s="35" t="str">
        <f>HYPERLINK("https://mississippidhs.jamacloud.com/perspective.req?projectId=53&amp;docId=28474","LSRP-SHRQ-543")</f>
        <v>LSRP-SHRQ-543</v>
      </c>
      <c r="B548" s="8" t="s">
        <v>893</v>
      </c>
      <c r="C548" s="35" t="s">
        <v>401</v>
      </c>
      <c r="D548" s="36" t="s">
        <v>53</v>
      </c>
      <c r="E548" s="37" t="s">
        <v>779</v>
      </c>
      <c r="F548" s="35" t="s">
        <v>411</v>
      </c>
      <c r="G548" s="7"/>
      <c r="H548" s="7"/>
      <c r="I548" s="12"/>
    </row>
    <row r="549" spans="1:9" ht="25.5" x14ac:dyDescent="0.2">
      <c r="A549" s="35" t="str">
        <f>HYPERLINK("https://mississippidhs.jamacloud.com/perspective.req?projectId=53&amp;docId=28475","LSRP-SHRQ-544")</f>
        <v>LSRP-SHRQ-544</v>
      </c>
      <c r="B549" s="8" t="s">
        <v>894</v>
      </c>
      <c r="C549" s="35" t="s">
        <v>401</v>
      </c>
      <c r="D549" s="36" t="s">
        <v>53</v>
      </c>
      <c r="E549" s="37" t="s">
        <v>779</v>
      </c>
      <c r="F549" s="35" t="s">
        <v>411</v>
      </c>
      <c r="G549" s="7"/>
      <c r="H549" s="7"/>
      <c r="I549" s="12"/>
    </row>
    <row r="550" spans="1:9" ht="38.25" x14ac:dyDescent="0.2">
      <c r="A550" s="35" t="str">
        <f>HYPERLINK("https://mississippidhs.jamacloud.com/perspective.req?projectId=53&amp;docId=28476","LSRP-SHRQ-545")</f>
        <v>LSRP-SHRQ-545</v>
      </c>
      <c r="B550" s="8" t="s">
        <v>895</v>
      </c>
      <c r="C550" s="35" t="s">
        <v>401</v>
      </c>
      <c r="D550" s="36" t="s">
        <v>53</v>
      </c>
      <c r="E550" s="37" t="s">
        <v>779</v>
      </c>
      <c r="F550" s="35" t="s">
        <v>411</v>
      </c>
      <c r="G550" s="7"/>
      <c r="H550" s="7"/>
      <c r="I550" s="12"/>
    </row>
    <row r="551" spans="1:9" ht="38.25" x14ac:dyDescent="0.2">
      <c r="A551" s="35" t="str">
        <f>HYPERLINK("https://mississippidhs.jamacloud.com/perspective.req?projectId=53&amp;docId=29755","LSRP-SHRQ-1806")</f>
        <v>LSRP-SHRQ-1806</v>
      </c>
      <c r="B551" s="8" t="s">
        <v>896</v>
      </c>
      <c r="C551" s="35" t="s">
        <v>401</v>
      </c>
      <c r="D551" s="36" t="s">
        <v>53</v>
      </c>
      <c r="E551" s="37" t="s">
        <v>779</v>
      </c>
      <c r="F551" s="35" t="s">
        <v>411</v>
      </c>
      <c r="G551" s="7"/>
      <c r="H551" s="7"/>
      <c r="I551" s="12"/>
    </row>
    <row r="552" spans="1:9" ht="25.5" x14ac:dyDescent="0.2">
      <c r="A552" s="35" t="str">
        <f>HYPERLINK("https://mississippidhs.jamacloud.com/perspective.req?projectId=53&amp;docId=28478","LSRP-SHRQ-546")</f>
        <v>LSRP-SHRQ-546</v>
      </c>
      <c r="B552" s="8" t="s">
        <v>897</v>
      </c>
      <c r="C552" s="35" t="s">
        <v>401</v>
      </c>
      <c r="D552" s="36" t="s">
        <v>43</v>
      </c>
      <c r="E552" s="37" t="s">
        <v>779</v>
      </c>
      <c r="F552" s="35" t="s">
        <v>898</v>
      </c>
      <c r="G552" s="7"/>
      <c r="H552" s="7"/>
      <c r="I552" s="12"/>
    </row>
    <row r="553" spans="1:9" ht="25.5" x14ac:dyDescent="0.2">
      <c r="A553" s="35" t="str">
        <f>HYPERLINK("https://mississippidhs.jamacloud.com/perspective.req?projectId=53&amp;docId=28479","LSRP-SHRQ-547")</f>
        <v>LSRP-SHRQ-547</v>
      </c>
      <c r="B553" s="8" t="s">
        <v>899</v>
      </c>
      <c r="C553" s="35" t="s">
        <v>401</v>
      </c>
      <c r="D553" s="36" t="s">
        <v>43</v>
      </c>
      <c r="E553" s="37" t="s">
        <v>779</v>
      </c>
      <c r="F553" s="35" t="s">
        <v>898</v>
      </c>
      <c r="G553" s="7"/>
      <c r="H553" s="7"/>
      <c r="I553" s="12"/>
    </row>
    <row r="554" spans="1:9" ht="25.5" x14ac:dyDescent="0.2">
      <c r="A554" s="35" t="str">
        <f>HYPERLINK("https://mississippidhs.jamacloud.com/perspective.req?projectId=53&amp;docId=28480","LSRP-SHRQ-548")</f>
        <v>LSRP-SHRQ-548</v>
      </c>
      <c r="B554" s="8" t="s">
        <v>900</v>
      </c>
      <c r="C554" s="35" t="s">
        <v>401</v>
      </c>
      <c r="D554" s="36" t="s">
        <v>43</v>
      </c>
      <c r="E554" s="37" t="s">
        <v>779</v>
      </c>
      <c r="F554" s="35" t="s">
        <v>411</v>
      </c>
      <c r="G554" s="7"/>
      <c r="H554" s="7"/>
      <c r="I554" s="12"/>
    </row>
    <row r="555" spans="1:9" ht="38.25" x14ac:dyDescent="0.2">
      <c r="A555" s="35" t="str">
        <f>HYPERLINK("https://mississippidhs.jamacloud.com/perspective.req?projectId=53&amp;docId=28481","LSRP-SHRQ-549")</f>
        <v>LSRP-SHRQ-549</v>
      </c>
      <c r="B555" s="8" t="s">
        <v>901</v>
      </c>
      <c r="C555" s="35" t="s">
        <v>401</v>
      </c>
      <c r="D555" s="36" t="s">
        <v>43</v>
      </c>
      <c r="E555" s="37" t="s">
        <v>779</v>
      </c>
      <c r="F555" s="35" t="s">
        <v>411</v>
      </c>
      <c r="G555" s="7"/>
      <c r="H555" s="7"/>
      <c r="I555" s="12"/>
    </row>
    <row r="556" spans="1:9" ht="25.5" x14ac:dyDescent="0.2">
      <c r="A556" s="35" t="str">
        <f>HYPERLINK("https://mississippidhs.jamacloud.com/perspective.req?projectId=53&amp;docId=28482","LSRP-SHRQ-550")</f>
        <v>LSRP-SHRQ-550</v>
      </c>
      <c r="B556" s="8" t="s">
        <v>902</v>
      </c>
      <c r="C556" s="35" t="s">
        <v>401</v>
      </c>
      <c r="D556" s="36" t="s">
        <v>43</v>
      </c>
      <c r="E556" s="37" t="s">
        <v>779</v>
      </c>
      <c r="F556" s="35" t="s">
        <v>903</v>
      </c>
      <c r="G556" s="7"/>
      <c r="H556" s="7"/>
      <c r="I556" s="12"/>
    </row>
    <row r="557" spans="1:9" ht="25.5" x14ac:dyDescent="0.2">
      <c r="A557" s="35" t="str">
        <f>HYPERLINK("https://mississippidhs.jamacloud.com/perspective.req?projectId=53&amp;docId=28483","LSRP-SHRQ-551")</f>
        <v>LSRP-SHRQ-551</v>
      </c>
      <c r="B557" s="8" t="s">
        <v>904</v>
      </c>
      <c r="C557" s="35" t="s">
        <v>401</v>
      </c>
      <c r="D557" s="36" t="s">
        <v>43</v>
      </c>
      <c r="E557" s="37" t="s">
        <v>779</v>
      </c>
      <c r="F557" s="35" t="s">
        <v>903</v>
      </c>
      <c r="G557" s="7"/>
      <c r="H557" s="7"/>
      <c r="I557" s="12"/>
    </row>
    <row r="558" spans="1:9" ht="25.5" x14ac:dyDescent="0.2">
      <c r="A558" s="35" t="str">
        <f>HYPERLINK("https://mississippidhs.jamacloud.com/perspective.req?projectId=53&amp;docId=28484","LSRP-SHRQ-552")</f>
        <v>LSRP-SHRQ-552</v>
      </c>
      <c r="B558" s="8" t="s">
        <v>905</v>
      </c>
      <c r="C558" s="35" t="s">
        <v>401</v>
      </c>
      <c r="D558" s="36" t="s">
        <v>43</v>
      </c>
      <c r="E558" s="37" t="s">
        <v>779</v>
      </c>
      <c r="F558" s="35" t="s">
        <v>906</v>
      </c>
      <c r="G558" s="7"/>
      <c r="H558" s="7"/>
      <c r="I558" s="12"/>
    </row>
    <row r="559" spans="1:9" ht="51" x14ac:dyDescent="0.2">
      <c r="A559" s="35" t="str">
        <f>HYPERLINK("https://mississippidhs.jamacloud.com/perspective.req?projectId=53&amp;docId=28485","LSRP-SHRQ-553")</f>
        <v>LSRP-SHRQ-553</v>
      </c>
      <c r="B559" s="8" t="s">
        <v>907</v>
      </c>
      <c r="C559" s="35" t="s">
        <v>401</v>
      </c>
      <c r="D559" s="36" t="s">
        <v>43</v>
      </c>
      <c r="E559" s="37" t="s">
        <v>779</v>
      </c>
      <c r="F559" s="35" t="s">
        <v>898</v>
      </c>
      <c r="G559" s="7"/>
      <c r="H559" s="7"/>
      <c r="I559" s="12"/>
    </row>
    <row r="560" spans="1:9" ht="25.5" x14ac:dyDescent="0.2">
      <c r="A560" s="35" t="str">
        <f>HYPERLINK("https://mississippidhs.jamacloud.com/perspective.req?projectId=53&amp;docId=28486","LSRP-SHRQ-554")</f>
        <v>LSRP-SHRQ-554</v>
      </c>
      <c r="B560" s="8" t="s">
        <v>908</v>
      </c>
      <c r="C560" s="35" t="s">
        <v>401</v>
      </c>
      <c r="D560" s="36" t="s">
        <v>43</v>
      </c>
      <c r="E560" s="37" t="s">
        <v>779</v>
      </c>
      <c r="F560" s="35" t="s">
        <v>909</v>
      </c>
      <c r="G560" s="7"/>
      <c r="H560" s="7"/>
      <c r="I560" s="12"/>
    </row>
    <row r="561" spans="1:9" ht="25.5" x14ac:dyDescent="0.2">
      <c r="A561" s="35" t="str">
        <f>HYPERLINK("https://mississippidhs.jamacloud.com/perspective.req?projectId=53&amp;docId=28487","LSRP-SHRQ-555")</f>
        <v>LSRP-SHRQ-555</v>
      </c>
      <c r="B561" s="8" t="s">
        <v>910</v>
      </c>
      <c r="C561" s="35" t="s">
        <v>401</v>
      </c>
      <c r="D561" s="36" t="s">
        <v>43</v>
      </c>
      <c r="E561" s="37" t="s">
        <v>779</v>
      </c>
      <c r="F561" s="35" t="s">
        <v>909</v>
      </c>
      <c r="G561" s="7"/>
      <c r="H561" s="7"/>
      <c r="I561" s="12"/>
    </row>
    <row r="562" spans="1:9" ht="38.25" x14ac:dyDescent="0.2">
      <c r="A562" s="35" t="str">
        <f>HYPERLINK("https://mississippidhs.jamacloud.com/perspective.req?projectId=53&amp;docId=28488","LSRP-SHRQ-556")</f>
        <v>LSRP-SHRQ-556</v>
      </c>
      <c r="B562" s="8" t="s">
        <v>911</v>
      </c>
      <c r="C562" s="35" t="s">
        <v>401</v>
      </c>
      <c r="D562" s="36" t="s">
        <v>43</v>
      </c>
      <c r="E562" s="37" t="s">
        <v>779</v>
      </c>
      <c r="F562" s="35" t="s">
        <v>909</v>
      </c>
      <c r="G562" s="7"/>
      <c r="H562" s="7"/>
      <c r="I562" s="12"/>
    </row>
    <row r="563" spans="1:9" ht="25.5" x14ac:dyDescent="0.2">
      <c r="A563" s="35" t="str">
        <f>HYPERLINK("https://mississippidhs.jamacloud.com/perspective.req?projectId=53&amp;docId=28489","LSRP-SHRQ-557")</f>
        <v>LSRP-SHRQ-557</v>
      </c>
      <c r="B563" s="8" t="s">
        <v>912</v>
      </c>
      <c r="C563" s="35" t="s">
        <v>401</v>
      </c>
      <c r="D563" s="36" t="s">
        <v>43</v>
      </c>
      <c r="E563" s="37" t="s">
        <v>779</v>
      </c>
      <c r="F563" s="35" t="s">
        <v>411</v>
      </c>
      <c r="G563" s="7"/>
      <c r="H563" s="7"/>
      <c r="I563" s="12"/>
    </row>
    <row r="564" spans="1:9" ht="38.25" x14ac:dyDescent="0.2">
      <c r="A564" s="35" t="str">
        <f>HYPERLINK("https://mississippidhs.jamacloud.com/perspective.req?projectId=53&amp;docId=28490","LSRP-SHRQ-558")</f>
        <v>LSRP-SHRQ-558</v>
      </c>
      <c r="B564" s="8" t="s">
        <v>913</v>
      </c>
      <c r="C564" s="35" t="s">
        <v>401</v>
      </c>
      <c r="D564" s="36" t="s">
        <v>43</v>
      </c>
      <c r="E564" s="37" t="s">
        <v>779</v>
      </c>
      <c r="F564" s="35" t="s">
        <v>411</v>
      </c>
      <c r="G564" s="7"/>
      <c r="H564" s="7"/>
      <c r="I564" s="12"/>
    </row>
    <row r="565" spans="1:9" ht="25.5" x14ac:dyDescent="0.2">
      <c r="A565" s="35" t="str">
        <f>HYPERLINK("https://mississippidhs.jamacloud.com/perspective.req?projectId=53&amp;docId=28491","LSRP-SHRQ-559")</f>
        <v>LSRP-SHRQ-559</v>
      </c>
      <c r="B565" s="8" t="s">
        <v>914</v>
      </c>
      <c r="C565" s="35" t="s">
        <v>401</v>
      </c>
      <c r="D565" s="36" t="s">
        <v>43</v>
      </c>
      <c r="E565" s="37" t="s">
        <v>779</v>
      </c>
      <c r="F565" s="35" t="s">
        <v>898</v>
      </c>
      <c r="G565" s="7"/>
      <c r="H565" s="7"/>
      <c r="I565" s="12"/>
    </row>
    <row r="566" spans="1:9" ht="25.5" x14ac:dyDescent="0.2">
      <c r="A566" s="35" t="str">
        <f>HYPERLINK("https://mississippidhs.jamacloud.com/perspective.req?projectId=53&amp;docId=28492","LSRP-SHRQ-560")</f>
        <v>LSRP-SHRQ-560</v>
      </c>
      <c r="B566" s="8" t="s">
        <v>915</v>
      </c>
      <c r="C566" s="35" t="s">
        <v>401</v>
      </c>
      <c r="D566" s="36" t="s">
        <v>43</v>
      </c>
      <c r="E566" s="37" t="s">
        <v>779</v>
      </c>
      <c r="F566" s="35" t="s">
        <v>898</v>
      </c>
      <c r="G566" s="7"/>
      <c r="H566" s="7"/>
      <c r="I566" s="12"/>
    </row>
    <row r="567" spans="1:9" ht="25.5" x14ac:dyDescent="0.2">
      <c r="A567" s="35" t="str">
        <f>HYPERLINK("https://mississippidhs.jamacloud.com/perspective.req?projectId=53&amp;docId=28493","LSRP-SHRQ-561")</f>
        <v>LSRP-SHRQ-561</v>
      </c>
      <c r="B567" s="8" t="s">
        <v>916</v>
      </c>
      <c r="C567" s="35" t="s">
        <v>401</v>
      </c>
      <c r="D567" s="36" t="s">
        <v>43</v>
      </c>
      <c r="E567" s="37" t="s">
        <v>779</v>
      </c>
      <c r="F567" s="35" t="s">
        <v>909</v>
      </c>
      <c r="G567" s="7"/>
      <c r="H567" s="7"/>
      <c r="I567" s="12"/>
    </row>
    <row r="568" spans="1:9" ht="51" x14ac:dyDescent="0.2">
      <c r="A568" s="35" t="str">
        <f>HYPERLINK("https://mississippidhs.jamacloud.com/perspective.req?projectId=53&amp;docId=28494","LSRP-SHRQ-562")</f>
        <v>LSRP-SHRQ-562</v>
      </c>
      <c r="B568" s="8" t="s">
        <v>917</v>
      </c>
      <c r="C568" s="35" t="s">
        <v>401</v>
      </c>
      <c r="D568" s="36" t="s">
        <v>43</v>
      </c>
      <c r="E568" s="37" t="s">
        <v>779</v>
      </c>
      <c r="F568" s="35" t="s">
        <v>909</v>
      </c>
      <c r="G568" s="7"/>
      <c r="H568" s="7"/>
      <c r="I568" s="12"/>
    </row>
    <row r="569" spans="1:9" ht="51" x14ac:dyDescent="0.2">
      <c r="A569" s="35" t="str">
        <f>HYPERLINK("https://mississippidhs.jamacloud.com/perspective.req?projectId=53&amp;docId=28495","LSRP-SHRQ-563")</f>
        <v>LSRP-SHRQ-563</v>
      </c>
      <c r="B569" s="8" t="s">
        <v>918</v>
      </c>
      <c r="C569" s="35" t="s">
        <v>401</v>
      </c>
      <c r="D569" s="36" t="s">
        <v>43</v>
      </c>
      <c r="E569" s="37" t="s">
        <v>779</v>
      </c>
      <c r="F569" s="35" t="s">
        <v>909</v>
      </c>
      <c r="G569" s="7"/>
      <c r="H569" s="7"/>
      <c r="I569" s="12"/>
    </row>
    <row r="570" spans="1:9" ht="25.5" x14ac:dyDescent="0.2">
      <c r="A570" s="35" t="str">
        <f>HYPERLINK("https://mississippidhs.jamacloud.com/perspective.req?projectId=53&amp;docId=28496","LSRP-SHRQ-564")</f>
        <v>LSRP-SHRQ-564</v>
      </c>
      <c r="B570" s="8" t="s">
        <v>919</v>
      </c>
      <c r="C570" s="35" t="s">
        <v>401</v>
      </c>
      <c r="D570" s="36" t="s">
        <v>43</v>
      </c>
      <c r="E570" s="37" t="s">
        <v>779</v>
      </c>
      <c r="F570" s="35" t="s">
        <v>909</v>
      </c>
      <c r="G570" s="7"/>
      <c r="H570" s="7"/>
      <c r="I570" s="12"/>
    </row>
    <row r="571" spans="1:9" ht="38.25" x14ac:dyDescent="0.2">
      <c r="A571" s="35" t="str">
        <f>HYPERLINK("https://mississippidhs.jamacloud.com/perspective.req?projectId=53&amp;docId=28497","LSRP-SHRQ-565")</f>
        <v>LSRP-SHRQ-565</v>
      </c>
      <c r="B571" s="8" t="s">
        <v>920</v>
      </c>
      <c r="C571" s="35" t="s">
        <v>401</v>
      </c>
      <c r="D571" s="36" t="s">
        <v>43</v>
      </c>
      <c r="E571" s="37" t="s">
        <v>779</v>
      </c>
      <c r="F571" s="35" t="s">
        <v>909</v>
      </c>
      <c r="G571" s="7"/>
      <c r="H571" s="7"/>
      <c r="I571" s="12"/>
    </row>
    <row r="572" spans="1:9" ht="38.25" x14ac:dyDescent="0.2">
      <c r="A572" s="35" t="str">
        <f>HYPERLINK("https://mississippidhs.jamacloud.com/perspective.req?projectId=53&amp;docId=28498","LSRP-SHRQ-566")</f>
        <v>LSRP-SHRQ-566</v>
      </c>
      <c r="B572" s="8" t="s">
        <v>921</v>
      </c>
      <c r="C572" s="35" t="s">
        <v>401</v>
      </c>
      <c r="D572" s="36" t="s">
        <v>43</v>
      </c>
      <c r="E572" s="37" t="s">
        <v>779</v>
      </c>
      <c r="F572" s="35" t="s">
        <v>898</v>
      </c>
      <c r="G572" s="7"/>
      <c r="H572" s="7"/>
      <c r="I572" s="12"/>
    </row>
    <row r="573" spans="1:9" ht="25.5" x14ac:dyDescent="0.2">
      <c r="A573" s="35" t="str">
        <f>HYPERLINK("https://mississippidhs.jamacloud.com/perspective.req?projectId=53&amp;docId=28499","LSRP-SHRQ-567")</f>
        <v>LSRP-SHRQ-567</v>
      </c>
      <c r="B573" s="8" t="s">
        <v>922</v>
      </c>
      <c r="C573" s="35" t="s">
        <v>401</v>
      </c>
      <c r="D573" s="36" t="s">
        <v>43</v>
      </c>
      <c r="E573" s="37" t="s">
        <v>779</v>
      </c>
      <c r="F573" s="35" t="s">
        <v>898</v>
      </c>
      <c r="G573" s="7"/>
      <c r="H573" s="7"/>
      <c r="I573" s="12"/>
    </row>
    <row r="574" spans="1:9" ht="38.25" x14ac:dyDescent="0.2">
      <c r="A574" s="35" t="str">
        <f>HYPERLINK("https://mississippidhs.jamacloud.com/perspective.req?projectId=53&amp;docId=28500","LSRP-SHRQ-568")</f>
        <v>LSRP-SHRQ-568</v>
      </c>
      <c r="B574" s="8" t="s">
        <v>923</v>
      </c>
      <c r="C574" s="35" t="s">
        <v>401</v>
      </c>
      <c r="D574" s="36" t="s">
        <v>43</v>
      </c>
      <c r="E574" s="37" t="s">
        <v>779</v>
      </c>
      <c r="F574" s="35" t="s">
        <v>909</v>
      </c>
      <c r="G574" s="7"/>
      <c r="H574" s="7"/>
      <c r="I574" s="12"/>
    </row>
    <row r="575" spans="1:9" ht="25.5" x14ac:dyDescent="0.2">
      <c r="A575" s="35" t="str">
        <f>HYPERLINK("https://mississippidhs.jamacloud.com/perspective.req?projectId=53&amp;docId=28501","LSRP-SHRQ-569")</f>
        <v>LSRP-SHRQ-569</v>
      </c>
      <c r="B575" s="8" t="s">
        <v>924</v>
      </c>
      <c r="C575" s="35" t="s">
        <v>401</v>
      </c>
      <c r="D575" s="36" t="s">
        <v>43</v>
      </c>
      <c r="E575" s="37" t="s">
        <v>779</v>
      </c>
      <c r="F575" s="35" t="s">
        <v>909</v>
      </c>
      <c r="G575" s="7"/>
      <c r="H575" s="7"/>
      <c r="I575" s="12"/>
    </row>
    <row r="576" spans="1:9" ht="25.5" x14ac:dyDescent="0.2">
      <c r="A576" s="35" t="str">
        <f>HYPERLINK("https://mississippidhs.jamacloud.com/perspective.req?projectId=53&amp;docId=28502","LSRP-SHRQ-570")</f>
        <v>LSRP-SHRQ-570</v>
      </c>
      <c r="B576" s="8" t="s">
        <v>925</v>
      </c>
      <c r="C576" s="35" t="s">
        <v>401</v>
      </c>
      <c r="D576" s="36" t="s">
        <v>43</v>
      </c>
      <c r="E576" s="37" t="s">
        <v>779</v>
      </c>
      <c r="F576" s="35" t="s">
        <v>898</v>
      </c>
      <c r="G576" s="7"/>
      <c r="H576" s="7"/>
      <c r="I576" s="12"/>
    </row>
    <row r="577" spans="1:9" ht="51" x14ac:dyDescent="0.2">
      <c r="A577" s="35" t="str">
        <f>HYPERLINK("https://mississippidhs.jamacloud.com/perspective.req?projectId=53&amp;docId=28503","LSRP-SHRQ-571")</f>
        <v>LSRP-SHRQ-571</v>
      </c>
      <c r="B577" s="8" t="s">
        <v>926</v>
      </c>
      <c r="C577" s="35" t="s">
        <v>401</v>
      </c>
      <c r="D577" s="36" t="s">
        <v>43</v>
      </c>
      <c r="E577" s="37" t="s">
        <v>779</v>
      </c>
      <c r="F577" s="35" t="s">
        <v>898</v>
      </c>
      <c r="G577" s="7"/>
      <c r="H577" s="7"/>
      <c r="I577" s="12"/>
    </row>
    <row r="578" spans="1:9" ht="25.5" x14ac:dyDescent="0.2">
      <c r="A578" s="35" t="str">
        <f>HYPERLINK("https://mississippidhs.jamacloud.com/perspective.req?projectId=53&amp;docId=28504","LSRP-SHRQ-572")</f>
        <v>LSRP-SHRQ-572</v>
      </c>
      <c r="B578" s="8" t="s">
        <v>927</v>
      </c>
      <c r="C578" s="35" t="s">
        <v>401</v>
      </c>
      <c r="D578" s="36" t="s">
        <v>43</v>
      </c>
      <c r="E578" s="37" t="s">
        <v>779</v>
      </c>
      <c r="F578" s="35" t="s">
        <v>909</v>
      </c>
      <c r="G578" s="7"/>
      <c r="H578" s="7"/>
      <c r="I578" s="12"/>
    </row>
    <row r="579" spans="1:9" ht="38.25" x14ac:dyDescent="0.2">
      <c r="A579" s="35" t="str">
        <f>HYPERLINK("https://mississippidhs.jamacloud.com/perspective.req?projectId=53&amp;docId=28505","LSRP-SHRQ-573")</f>
        <v>LSRP-SHRQ-573</v>
      </c>
      <c r="B579" s="8" t="s">
        <v>928</v>
      </c>
      <c r="C579" s="35" t="s">
        <v>401</v>
      </c>
      <c r="D579" s="36" t="s">
        <v>43</v>
      </c>
      <c r="E579" s="37" t="s">
        <v>779</v>
      </c>
      <c r="F579" s="35" t="s">
        <v>898</v>
      </c>
      <c r="G579" s="7"/>
      <c r="H579" s="7"/>
      <c r="I579" s="12"/>
    </row>
    <row r="580" spans="1:9" ht="89.25" x14ac:dyDescent="0.2">
      <c r="A580" s="35" t="str">
        <f>HYPERLINK("https://mississippidhs.jamacloud.com/perspective.req?projectId=53&amp;docId=28506","LSRP-SHRQ-574")</f>
        <v>LSRP-SHRQ-574</v>
      </c>
      <c r="B580" s="31" t="s">
        <v>929</v>
      </c>
      <c r="C580" s="35" t="s">
        <v>401</v>
      </c>
      <c r="D580" s="36" t="s">
        <v>43</v>
      </c>
      <c r="E580" s="37" t="s">
        <v>779</v>
      </c>
      <c r="F580" s="35" t="s">
        <v>898</v>
      </c>
      <c r="G580" s="7"/>
      <c r="H580" s="7"/>
      <c r="I580" s="12"/>
    </row>
    <row r="581" spans="1:9" ht="63.75" x14ac:dyDescent="0.2">
      <c r="A581" s="35" t="str">
        <f>HYPERLINK("https://mississippidhs.jamacloud.com/perspective.req?projectId=53&amp;docId=28507","LSRP-SHRQ-575")</f>
        <v>LSRP-SHRQ-575</v>
      </c>
      <c r="B581" s="8" t="s">
        <v>930</v>
      </c>
      <c r="C581" s="35" t="s">
        <v>401</v>
      </c>
      <c r="D581" s="36" t="s">
        <v>43</v>
      </c>
      <c r="E581" s="37" t="s">
        <v>779</v>
      </c>
      <c r="F581" s="35" t="s">
        <v>909</v>
      </c>
      <c r="G581" s="7"/>
      <c r="H581" s="7"/>
      <c r="I581" s="12"/>
    </row>
    <row r="582" spans="1:9" ht="38.25" x14ac:dyDescent="0.2">
      <c r="A582" s="35" t="str">
        <f>HYPERLINK("https://mississippidhs.jamacloud.com/perspective.req?projectId=53&amp;docId=28508","LSRP-SHRQ-576")</f>
        <v>LSRP-SHRQ-576</v>
      </c>
      <c r="B582" s="8" t="s">
        <v>931</v>
      </c>
      <c r="C582" s="35" t="s">
        <v>401</v>
      </c>
      <c r="D582" s="36" t="s">
        <v>43</v>
      </c>
      <c r="E582" s="37" t="s">
        <v>779</v>
      </c>
      <c r="F582" s="35" t="s">
        <v>909</v>
      </c>
      <c r="G582" s="7"/>
      <c r="H582" s="7"/>
      <c r="I582" s="12"/>
    </row>
    <row r="583" spans="1:9" ht="25.5" x14ac:dyDescent="0.2">
      <c r="A583" s="35" t="str">
        <f>HYPERLINK("https://mississippidhs.jamacloud.com/perspective.req?projectId=53&amp;docId=28509","LSRP-SHRQ-577")</f>
        <v>LSRP-SHRQ-577</v>
      </c>
      <c r="B583" s="8" t="s">
        <v>932</v>
      </c>
      <c r="C583" s="35" t="s">
        <v>401</v>
      </c>
      <c r="D583" s="36" t="s">
        <v>43</v>
      </c>
      <c r="E583" s="37" t="s">
        <v>779</v>
      </c>
      <c r="F583" s="35" t="s">
        <v>411</v>
      </c>
      <c r="G583" s="7"/>
      <c r="H583" s="7"/>
      <c r="I583" s="12"/>
    </row>
    <row r="584" spans="1:9" ht="25.5" x14ac:dyDescent="0.2">
      <c r="A584" s="35" t="str">
        <f>HYPERLINK("https://mississippidhs.jamacloud.com/perspective.req?projectId=53&amp;docId=28510","LSRP-SHRQ-578")</f>
        <v>LSRP-SHRQ-578</v>
      </c>
      <c r="B584" s="8" t="s">
        <v>933</v>
      </c>
      <c r="C584" s="35" t="s">
        <v>401</v>
      </c>
      <c r="D584" s="36" t="s">
        <v>43</v>
      </c>
      <c r="E584" s="37" t="s">
        <v>779</v>
      </c>
      <c r="F584" s="35" t="s">
        <v>411</v>
      </c>
      <c r="G584" s="7"/>
      <c r="H584" s="7"/>
      <c r="I584" s="12"/>
    </row>
    <row r="585" spans="1:9" ht="76.5" x14ac:dyDescent="0.2">
      <c r="A585" s="35" t="str">
        <f>HYPERLINK("https://mississippidhs.jamacloud.com/perspective.req?projectId=53&amp;docId=28511","LSRP-SHRQ-579")</f>
        <v>LSRP-SHRQ-579</v>
      </c>
      <c r="B585" s="8" t="s">
        <v>934</v>
      </c>
      <c r="C585" s="35" t="s">
        <v>401</v>
      </c>
      <c r="D585" s="36" t="s">
        <v>43</v>
      </c>
      <c r="E585" s="37" t="s">
        <v>779</v>
      </c>
      <c r="F585" s="35" t="s">
        <v>411</v>
      </c>
      <c r="G585" s="7"/>
      <c r="H585" s="7"/>
      <c r="I585" s="12"/>
    </row>
    <row r="586" spans="1:9" ht="51" x14ac:dyDescent="0.2">
      <c r="A586" s="35" t="str">
        <f>HYPERLINK("https://mississippidhs.jamacloud.com/perspective.req?projectId=53&amp;docId=28512","LSRP-SHRQ-580")</f>
        <v>LSRP-SHRQ-580</v>
      </c>
      <c r="B586" s="8" t="s">
        <v>935</v>
      </c>
      <c r="C586" s="35" t="s">
        <v>401</v>
      </c>
      <c r="D586" s="36" t="s">
        <v>43</v>
      </c>
      <c r="E586" s="37" t="s">
        <v>779</v>
      </c>
      <c r="F586" s="35" t="s">
        <v>411</v>
      </c>
      <c r="G586" s="7"/>
      <c r="H586" s="7"/>
      <c r="I586" s="12"/>
    </row>
    <row r="587" spans="1:9" ht="25.5" x14ac:dyDescent="0.2">
      <c r="A587" s="35" t="str">
        <f>HYPERLINK("https://mississippidhs.jamacloud.com/perspective.req?projectId=53&amp;docId=28513","LSRP-SHRQ-581")</f>
        <v>LSRP-SHRQ-581</v>
      </c>
      <c r="B587" s="8" t="s">
        <v>936</v>
      </c>
      <c r="C587" s="35" t="s">
        <v>401</v>
      </c>
      <c r="D587" s="36" t="s">
        <v>43</v>
      </c>
      <c r="E587" s="37" t="s">
        <v>779</v>
      </c>
      <c r="F587" s="35" t="s">
        <v>909</v>
      </c>
      <c r="G587" s="7"/>
      <c r="H587" s="7"/>
      <c r="I587" s="12"/>
    </row>
    <row r="588" spans="1:9" ht="51" x14ac:dyDescent="0.2">
      <c r="A588" s="35" t="str">
        <f>HYPERLINK("https://mississippidhs.jamacloud.com/perspective.req?projectId=53&amp;docId=28514","LSRP-SHRQ-582")</f>
        <v>LSRP-SHRQ-582</v>
      </c>
      <c r="B588" s="8" t="s">
        <v>937</v>
      </c>
      <c r="C588" s="35" t="s">
        <v>401</v>
      </c>
      <c r="D588" s="36" t="s">
        <v>43</v>
      </c>
      <c r="E588" s="37" t="s">
        <v>779</v>
      </c>
      <c r="F588" s="35" t="s">
        <v>411</v>
      </c>
      <c r="G588" s="7"/>
      <c r="H588" s="7"/>
      <c r="I588" s="12"/>
    </row>
    <row r="589" spans="1:9" ht="25.5" x14ac:dyDescent="0.2">
      <c r="A589" s="35" t="str">
        <f>HYPERLINK("https://mississippidhs.jamacloud.com/perspective.req?projectId=53&amp;docId=28515","LSRP-SHRQ-583")</f>
        <v>LSRP-SHRQ-583</v>
      </c>
      <c r="B589" s="8" t="s">
        <v>938</v>
      </c>
      <c r="C589" s="35" t="s">
        <v>401</v>
      </c>
      <c r="D589" s="36" t="s">
        <v>43</v>
      </c>
      <c r="E589" s="37" t="s">
        <v>779</v>
      </c>
      <c r="F589" s="35" t="s">
        <v>909</v>
      </c>
      <c r="G589" s="7"/>
      <c r="H589" s="7"/>
      <c r="I589" s="12"/>
    </row>
    <row r="590" spans="1:9" ht="38.25" x14ac:dyDescent="0.2">
      <c r="A590" s="35" t="str">
        <f>HYPERLINK("https://mississippidhs.jamacloud.com/perspective.req?projectId=53&amp;docId=28516","LSRP-SHRQ-584")</f>
        <v>LSRP-SHRQ-584</v>
      </c>
      <c r="B590" s="8" t="s">
        <v>939</v>
      </c>
      <c r="C590" s="35" t="s">
        <v>401</v>
      </c>
      <c r="D590" s="36" t="s">
        <v>43</v>
      </c>
      <c r="E590" s="37" t="s">
        <v>779</v>
      </c>
      <c r="F590" s="35" t="s">
        <v>909</v>
      </c>
      <c r="G590" s="7"/>
      <c r="H590" s="7"/>
      <c r="I590" s="12"/>
    </row>
    <row r="591" spans="1:9" ht="25.5" x14ac:dyDescent="0.2">
      <c r="A591" s="35" t="str">
        <f>HYPERLINK("https://mississippidhs.jamacloud.com/perspective.req?projectId=53&amp;docId=28517","LSRP-SHRQ-585")</f>
        <v>LSRP-SHRQ-585</v>
      </c>
      <c r="B591" s="8" t="s">
        <v>940</v>
      </c>
      <c r="C591" s="35" t="s">
        <v>401</v>
      </c>
      <c r="D591" s="36" t="s">
        <v>43</v>
      </c>
      <c r="E591" s="37" t="s">
        <v>779</v>
      </c>
      <c r="F591" s="35" t="s">
        <v>411</v>
      </c>
      <c r="G591" s="7"/>
      <c r="H591" s="7"/>
      <c r="I591" s="12"/>
    </row>
    <row r="592" spans="1:9" ht="25.5" x14ac:dyDescent="0.2">
      <c r="A592" s="35" t="str">
        <f>HYPERLINK("https://mississippidhs.jamacloud.com/perspective.req?projectId=53&amp;docId=28518","LSRP-SHRQ-586")</f>
        <v>LSRP-SHRQ-586</v>
      </c>
      <c r="B592" s="8" t="s">
        <v>941</v>
      </c>
      <c r="C592" s="35" t="s">
        <v>401</v>
      </c>
      <c r="D592" s="36" t="s">
        <v>43</v>
      </c>
      <c r="E592" s="37" t="s">
        <v>779</v>
      </c>
      <c r="F592" s="35" t="s">
        <v>909</v>
      </c>
      <c r="G592" s="7"/>
      <c r="H592" s="7"/>
      <c r="I592" s="12"/>
    </row>
    <row r="593" spans="1:9" ht="25.5" x14ac:dyDescent="0.2">
      <c r="A593" s="35" t="str">
        <f>HYPERLINK("https://mississippidhs.jamacloud.com/perspective.req?projectId=53&amp;docId=28519","LSRP-SHRQ-587")</f>
        <v>LSRP-SHRQ-587</v>
      </c>
      <c r="B593" s="8" t="s">
        <v>942</v>
      </c>
      <c r="C593" s="35" t="s">
        <v>401</v>
      </c>
      <c r="D593" s="36" t="s">
        <v>43</v>
      </c>
      <c r="E593" s="37" t="s">
        <v>779</v>
      </c>
      <c r="F593" s="35" t="s">
        <v>411</v>
      </c>
      <c r="G593" s="7"/>
      <c r="H593" s="7"/>
      <c r="I593" s="12"/>
    </row>
    <row r="594" spans="1:9" ht="76.5" x14ac:dyDescent="0.2">
      <c r="A594" s="35" t="str">
        <f>HYPERLINK("https://mississippidhs.jamacloud.com/perspective.req?projectId=53&amp;docId=28520","LSRP-SHRQ-588")</f>
        <v>LSRP-SHRQ-588</v>
      </c>
      <c r="B594" s="8" t="s">
        <v>943</v>
      </c>
      <c r="C594" s="35" t="s">
        <v>401</v>
      </c>
      <c r="D594" s="36" t="s">
        <v>43</v>
      </c>
      <c r="E594" s="37" t="s">
        <v>779</v>
      </c>
      <c r="F594" s="35" t="s">
        <v>411</v>
      </c>
      <c r="G594" s="7"/>
      <c r="H594" s="7"/>
      <c r="I594" s="12"/>
    </row>
    <row r="595" spans="1:9" ht="102" x14ac:dyDescent="0.2">
      <c r="A595" s="35" t="str">
        <f>HYPERLINK("https://mississippidhs.jamacloud.com/perspective.req?projectId=53&amp;docId=28521","LSRP-SHRQ-589")</f>
        <v>LSRP-SHRQ-589</v>
      </c>
      <c r="B595" s="8" t="s">
        <v>944</v>
      </c>
      <c r="C595" s="35" t="s">
        <v>401</v>
      </c>
      <c r="D595" s="36" t="s">
        <v>43</v>
      </c>
      <c r="E595" s="37" t="s">
        <v>779</v>
      </c>
      <c r="F595" s="35" t="s">
        <v>411</v>
      </c>
      <c r="G595" s="7"/>
      <c r="H595" s="7"/>
      <c r="I595" s="12"/>
    </row>
    <row r="596" spans="1:9" ht="76.5" x14ac:dyDescent="0.2">
      <c r="A596" s="35" t="str">
        <f>HYPERLINK("https://mississippidhs.jamacloud.com/perspective.req?projectId=53&amp;docId=28522","LSRP-SHRQ-590")</f>
        <v>LSRP-SHRQ-590</v>
      </c>
      <c r="B596" s="8" t="s">
        <v>945</v>
      </c>
      <c r="C596" s="35" t="s">
        <v>401</v>
      </c>
      <c r="D596" s="36" t="s">
        <v>43</v>
      </c>
      <c r="E596" s="37" t="s">
        <v>779</v>
      </c>
      <c r="F596" s="35" t="s">
        <v>411</v>
      </c>
      <c r="G596" s="7"/>
      <c r="H596" s="7"/>
      <c r="I596" s="12"/>
    </row>
    <row r="597" spans="1:9" ht="63.75" x14ac:dyDescent="0.2">
      <c r="A597" s="35" t="str">
        <f>HYPERLINK("https://mississippidhs.jamacloud.com/perspective.req?projectId=53&amp;docId=28523","LSRP-SHRQ-591")</f>
        <v>LSRP-SHRQ-591</v>
      </c>
      <c r="B597" s="8" t="s">
        <v>946</v>
      </c>
      <c r="C597" s="35" t="s">
        <v>401</v>
      </c>
      <c r="D597" s="36" t="s">
        <v>43</v>
      </c>
      <c r="E597" s="37" t="s">
        <v>779</v>
      </c>
      <c r="F597" s="35" t="s">
        <v>411</v>
      </c>
      <c r="G597" s="7"/>
      <c r="H597" s="7"/>
      <c r="I597" s="12"/>
    </row>
    <row r="598" spans="1:9" ht="25.5" x14ac:dyDescent="0.2">
      <c r="A598" s="35" t="str">
        <f>HYPERLINK("https://mississippidhs.jamacloud.com/perspective.req?projectId=53&amp;docId=28524","LSRP-SHRQ-592")</f>
        <v>LSRP-SHRQ-592</v>
      </c>
      <c r="B598" s="8" t="s">
        <v>947</v>
      </c>
      <c r="C598" s="35" t="s">
        <v>401</v>
      </c>
      <c r="D598" s="36" t="s">
        <v>43</v>
      </c>
      <c r="E598" s="37" t="s">
        <v>779</v>
      </c>
      <c r="F598" s="35" t="s">
        <v>411</v>
      </c>
      <c r="G598" s="7"/>
      <c r="H598" s="7"/>
      <c r="I598" s="12"/>
    </row>
    <row r="599" spans="1:9" ht="38.25" x14ac:dyDescent="0.2">
      <c r="A599" s="35" t="str">
        <f>HYPERLINK("https://mississippidhs.jamacloud.com/perspective.req?projectId=53&amp;docId=28525","LSRP-SHRQ-593")</f>
        <v>LSRP-SHRQ-593</v>
      </c>
      <c r="B599" s="8" t="s">
        <v>948</v>
      </c>
      <c r="C599" s="35" t="s">
        <v>401</v>
      </c>
      <c r="D599" s="36" t="s">
        <v>43</v>
      </c>
      <c r="E599" s="37" t="s">
        <v>779</v>
      </c>
      <c r="F599" s="35" t="s">
        <v>411</v>
      </c>
      <c r="G599" s="7"/>
      <c r="H599" s="7"/>
      <c r="I599" s="12"/>
    </row>
    <row r="600" spans="1:9" ht="25.5" x14ac:dyDescent="0.2">
      <c r="A600" s="35" t="str">
        <f>HYPERLINK("https://mississippidhs.jamacloud.com/perspective.req?projectId=53&amp;docId=28526","LSRP-SHRQ-594")</f>
        <v>LSRP-SHRQ-594</v>
      </c>
      <c r="B600" s="8" t="s">
        <v>949</v>
      </c>
      <c r="C600" s="35" t="s">
        <v>401</v>
      </c>
      <c r="D600" s="36" t="s">
        <v>43</v>
      </c>
      <c r="E600" s="37" t="s">
        <v>779</v>
      </c>
      <c r="F600" s="35" t="s">
        <v>411</v>
      </c>
      <c r="G600" s="7"/>
      <c r="H600" s="7"/>
      <c r="I600" s="12"/>
    </row>
    <row r="601" spans="1:9" ht="38.25" x14ac:dyDescent="0.2">
      <c r="A601" s="35" t="str">
        <f>HYPERLINK("https://mississippidhs.jamacloud.com/perspective.req?projectId=53&amp;docId=28527","LSRP-SHRQ-595")</f>
        <v>LSRP-SHRQ-595</v>
      </c>
      <c r="B601" s="8" t="s">
        <v>950</v>
      </c>
      <c r="C601" s="35" t="s">
        <v>401</v>
      </c>
      <c r="D601" s="36" t="s">
        <v>43</v>
      </c>
      <c r="E601" s="37" t="s">
        <v>779</v>
      </c>
      <c r="F601" s="35" t="s">
        <v>411</v>
      </c>
      <c r="G601" s="7"/>
      <c r="H601" s="7"/>
      <c r="I601" s="12"/>
    </row>
    <row r="602" spans="1:9" ht="14.25" x14ac:dyDescent="0.2">
      <c r="A602" s="35" t="str">
        <f>HYPERLINK("https://mississippidhs.jamacloud.com/perspective.req?projectId=53&amp;docId=28528","LSRP-SHRQ-596")</f>
        <v>LSRP-SHRQ-596</v>
      </c>
      <c r="B602" s="8" t="s">
        <v>951</v>
      </c>
      <c r="C602" s="35" t="s">
        <v>401</v>
      </c>
      <c r="D602" s="36" t="s">
        <v>43</v>
      </c>
      <c r="E602" s="37" t="s">
        <v>779</v>
      </c>
      <c r="F602" s="35" t="s">
        <v>898</v>
      </c>
      <c r="G602" s="7"/>
      <c r="H602" s="7"/>
      <c r="I602" s="12"/>
    </row>
    <row r="603" spans="1:9" ht="25.5" x14ac:dyDescent="0.2">
      <c r="A603" s="35" t="str">
        <f>HYPERLINK("https://mississippidhs.jamacloud.com/perspective.req?projectId=53&amp;docId=28529","LSRP-SHRQ-597")</f>
        <v>LSRP-SHRQ-597</v>
      </c>
      <c r="B603" s="8" t="s">
        <v>952</v>
      </c>
      <c r="C603" s="35" t="s">
        <v>401</v>
      </c>
      <c r="D603" s="36" t="s">
        <v>43</v>
      </c>
      <c r="E603" s="37" t="s">
        <v>779</v>
      </c>
      <c r="F603" s="35" t="s">
        <v>411</v>
      </c>
      <c r="G603" s="7"/>
      <c r="H603" s="7"/>
      <c r="I603" s="12"/>
    </row>
    <row r="604" spans="1:9" ht="51" x14ac:dyDescent="0.2">
      <c r="A604" s="35" t="str">
        <f>HYPERLINK("https://mississippidhs.jamacloud.com/perspective.req?projectId=53&amp;docId=28530","LSRP-SHRQ-598")</f>
        <v>LSRP-SHRQ-598</v>
      </c>
      <c r="B604" s="8" t="s">
        <v>953</v>
      </c>
      <c r="C604" s="35" t="s">
        <v>401</v>
      </c>
      <c r="D604" s="36" t="s">
        <v>43</v>
      </c>
      <c r="E604" s="37" t="s">
        <v>779</v>
      </c>
      <c r="F604" s="35" t="s">
        <v>411</v>
      </c>
      <c r="G604" s="7"/>
      <c r="H604" s="7"/>
      <c r="I604" s="12"/>
    </row>
    <row r="605" spans="1:9" ht="51" x14ac:dyDescent="0.2">
      <c r="A605" s="35" t="str">
        <f>HYPERLINK("https://mississippidhs.jamacloud.com/perspective.req?projectId=53&amp;docId=28531","LSRP-SHRQ-599")</f>
        <v>LSRP-SHRQ-599</v>
      </c>
      <c r="B605" s="8" t="s">
        <v>954</v>
      </c>
      <c r="C605" s="35" t="s">
        <v>401</v>
      </c>
      <c r="D605" s="36" t="s">
        <v>43</v>
      </c>
      <c r="E605" s="37" t="s">
        <v>779</v>
      </c>
      <c r="F605" s="35" t="s">
        <v>411</v>
      </c>
      <c r="G605" s="7"/>
      <c r="H605" s="7"/>
      <c r="I605" s="12"/>
    </row>
    <row r="606" spans="1:9" ht="25.5" x14ac:dyDescent="0.2">
      <c r="A606" s="35" t="str">
        <f>HYPERLINK("https://mississippidhs.jamacloud.com/perspective.req?projectId=53&amp;docId=28532","LSRP-SHRQ-600")</f>
        <v>LSRP-SHRQ-600</v>
      </c>
      <c r="B606" s="8" t="s">
        <v>955</v>
      </c>
      <c r="C606" s="35" t="s">
        <v>401</v>
      </c>
      <c r="D606" s="36" t="s">
        <v>43</v>
      </c>
      <c r="E606" s="37" t="s">
        <v>779</v>
      </c>
      <c r="F606" s="35" t="s">
        <v>411</v>
      </c>
      <c r="G606" s="7"/>
      <c r="H606" s="7"/>
      <c r="I606" s="12"/>
    </row>
    <row r="607" spans="1:9" ht="25.5" x14ac:dyDescent="0.2">
      <c r="A607" s="35" t="str">
        <f>HYPERLINK("https://mississippidhs.jamacloud.com/perspective.req?projectId=53&amp;docId=28533","LSRP-SHRQ-601")</f>
        <v>LSRP-SHRQ-601</v>
      </c>
      <c r="B607" s="8" t="s">
        <v>956</v>
      </c>
      <c r="C607" s="35" t="s">
        <v>401</v>
      </c>
      <c r="D607" s="36" t="s">
        <v>43</v>
      </c>
      <c r="E607" s="37" t="s">
        <v>779</v>
      </c>
      <c r="F607" s="35" t="s">
        <v>411</v>
      </c>
      <c r="G607" s="7"/>
      <c r="H607" s="7"/>
      <c r="I607" s="12"/>
    </row>
    <row r="608" spans="1:9" ht="25.5" x14ac:dyDescent="0.2">
      <c r="A608" s="35" t="str">
        <f>HYPERLINK("https://mississippidhs.jamacloud.com/perspective.req?projectId=53&amp;docId=28534","LSRP-SHRQ-602")</f>
        <v>LSRP-SHRQ-602</v>
      </c>
      <c r="B608" s="8" t="s">
        <v>957</v>
      </c>
      <c r="C608" s="35" t="s">
        <v>401</v>
      </c>
      <c r="D608" s="36" t="s">
        <v>43</v>
      </c>
      <c r="E608" s="37" t="s">
        <v>779</v>
      </c>
      <c r="F608" s="35" t="s">
        <v>411</v>
      </c>
      <c r="G608" s="7"/>
      <c r="H608" s="7"/>
      <c r="I608" s="12"/>
    </row>
    <row r="609" spans="1:9" ht="25.5" x14ac:dyDescent="0.2">
      <c r="A609" s="35" t="str">
        <f>HYPERLINK("https://mississippidhs.jamacloud.com/perspective.req?projectId=53&amp;docId=28535","LSRP-SHRQ-603")</f>
        <v>LSRP-SHRQ-603</v>
      </c>
      <c r="B609" s="8" t="s">
        <v>958</v>
      </c>
      <c r="C609" s="35" t="s">
        <v>401</v>
      </c>
      <c r="D609" s="36" t="s">
        <v>43</v>
      </c>
      <c r="E609" s="37" t="s">
        <v>779</v>
      </c>
      <c r="F609" s="35" t="s">
        <v>411</v>
      </c>
      <c r="G609" s="7"/>
      <c r="H609" s="7"/>
      <c r="I609" s="12"/>
    </row>
    <row r="610" spans="1:9" ht="25.5" x14ac:dyDescent="0.2">
      <c r="A610" s="35" t="str">
        <f>HYPERLINK("https://mississippidhs.jamacloud.com/perspective.req?projectId=53&amp;docId=28536","LSRP-SHRQ-604")</f>
        <v>LSRP-SHRQ-604</v>
      </c>
      <c r="B610" s="8" t="s">
        <v>959</v>
      </c>
      <c r="C610" s="35" t="s">
        <v>401</v>
      </c>
      <c r="D610" s="36" t="s">
        <v>43</v>
      </c>
      <c r="E610" s="37" t="s">
        <v>779</v>
      </c>
      <c r="F610" s="35" t="s">
        <v>411</v>
      </c>
      <c r="G610" s="7"/>
      <c r="H610" s="7"/>
      <c r="I610" s="12"/>
    </row>
    <row r="611" spans="1:9" ht="51" x14ac:dyDescent="0.2">
      <c r="A611" s="35" t="str">
        <f>HYPERLINK("https://mississippidhs.jamacloud.com/perspective.req?projectId=53&amp;docId=28537","LSRP-SHRQ-605")</f>
        <v>LSRP-SHRQ-605</v>
      </c>
      <c r="B611" s="8" t="s">
        <v>960</v>
      </c>
      <c r="C611" s="35" t="s">
        <v>401</v>
      </c>
      <c r="D611" s="36" t="s">
        <v>43</v>
      </c>
      <c r="E611" s="37" t="s">
        <v>779</v>
      </c>
      <c r="F611" s="35" t="s">
        <v>411</v>
      </c>
      <c r="G611" s="7"/>
      <c r="H611" s="7"/>
      <c r="I611" s="12"/>
    </row>
    <row r="612" spans="1:9" ht="14.25" x14ac:dyDescent="0.2">
      <c r="A612" s="35" t="str">
        <f>HYPERLINK("https://mississippidhs.jamacloud.com/perspective.req?projectId=53&amp;docId=28538","LSRP-SHRQ-606")</f>
        <v>LSRP-SHRQ-606</v>
      </c>
      <c r="B612" s="8" t="s">
        <v>961</v>
      </c>
      <c r="C612" s="35" t="s">
        <v>401</v>
      </c>
      <c r="D612" s="36" t="s">
        <v>43</v>
      </c>
      <c r="E612" s="37" t="s">
        <v>779</v>
      </c>
      <c r="F612" s="35" t="s">
        <v>411</v>
      </c>
      <c r="G612" s="7"/>
      <c r="H612" s="7"/>
      <c r="I612" s="12"/>
    </row>
    <row r="613" spans="1:9" ht="25.5" x14ac:dyDescent="0.2">
      <c r="A613" s="35" t="str">
        <f>HYPERLINK("https://mississippidhs.jamacloud.com/perspective.req?projectId=53&amp;docId=28539","LSRP-SHRQ-607")</f>
        <v>LSRP-SHRQ-607</v>
      </c>
      <c r="B613" s="8" t="s">
        <v>962</v>
      </c>
      <c r="C613" s="35" t="s">
        <v>401</v>
      </c>
      <c r="D613" s="36" t="s">
        <v>43</v>
      </c>
      <c r="E613" s="37" t="s">
        <v>779</v>
      </c>
      <c r="F613" s="35" t="s">
        <v>411</v>
      </c>
      <c r="G613" s="7"/>
      <c r="H613" s="7"/>
      <c r="I613" s="12"/>
    </row>
    <row r="614" spans="1:9" ht="63.75" x14ac:dyDescent="0.2">
      <c r="A614" s="35" t="str">
        <f>HYPERLINK("https://mississippidhs.jamacloud.com/perspective.req?projectId=53&amp;docId=28540","LSRP-SHRQ-608")</f>
        <v>LSRP-SHRQ-608</v>
      </c>
      <c r="B614" s="8" t="s">
        <v>963</v>
      </c>
      <c r="C614" s="35" t="s">
        <v>401</v>
      </c>
      <c r="D614" s="36" t="s">
        <v>43</v>
      </c>
      <c r="E614" s="37" t="s">
        <v>779</v>
      </c>
      <c r="F614" s="35" t="s">
        <v>411</v>
      </c>
      <c r="G614" s="7"/>
      <c r="H614" s="7"/>
      <c r="I614" s="12"/>
    </row>
    <row r="615" spans="1:9" ht="25.5" x14ac:dyDescent="0.2">
      <c r="A615" s="35" t="str">
        <f>HYPERLINK("https://mississippidhs.jamacloud.com/perspective.req?projectId=53&amp;docId=28541","LSRP-SHRQ-609")</f>
        <v>LSRP-SHRQ-609</v>
      </c>
      <c r="B615" s="8" t="s">
        <v>964</v>
      </c>
      <c r="C615" s="35" t="s">
        <v>401</v>
      </c>
      <c r="D615" s="36" t="s">
        <v>43</v>
      </c>
      <c r="E615" s="37" t="s">
        <v>779</v>
      </c>
      <c r="F615" s="35" t="s">
        <v>411</v>
      </c>
      <c r="G615" s="7"/>
      <c r="H615" s="7"/>
      <c r="I615" s="12"/>
    </row>
    <row r="616" spans="1:9" ht="38.25" x14ac:dyDescent="0.2">
      <c r="A616" s="35" t="str">
        <f>HYPERLINK("https://mississippidhs.jamacloud.com/perspective.req?projectId=53&amp;docId=28542","LSRP-SHRQ-610")</f>
        <v>LSRP-SHRQ-610</v>
      </c>
      <c r="B616" s="8" t="s">
        <v>965</v>
      </c>
      <c r="C616" s="35" t="s">
        <v>401</v>
      </c>
      <c r="D616" s="36" t="s">
        <v>43</v>
      </c>
      <c r="E616" s="37" t="s">
        <v>779</v>
      </c>
      <c r="F616" s="35" t="s">
        <v>411</v>
      </c>
      <c r="G616" s="7"/>
      <c r="H616" s="7"/>
      <c r="I616" s="12"/>
    </row>
    <row r="617" spans="1:9" ht="51" x14ac:dyDescent="0.2">
      <c r="A617" s="35" t="str">
        <f>HYPERLINK("https://mississippidhs.jamacloud.com/perspective.req?projectId=53&amp;docId=28543","LSRP-SHRQ-611")</f>
        <v>LSRP-SHRQ-611</v>
      </c>
      <c r="B617" s="8" t="s">
        <v>966</v>
      </c>
      <c r="C617" s="35" t="s">
        <v>401</v>
      </c>
      <c r="D617" s="36" t="s">
        <v>43</v>
      </c>
      <c r="E617" s="37" t="s">
        <v>779</v>
      </c>
      <c r="F617" s="35" t="s">
        <v>411</v>
      </c>
      <c r="G617" s="7"/>
      <c r="H617" s="7"/>
      <c r="I617" s="12"/>
    </row>
    <row r="618" spans="1:9" ht="25.5" x14ac:dyDescent="0.2">
      <c r="A618" s="35" t="str">
        <f>HYPERLINK("https://mississippidhs.jamacloud.com/perspective.req?projectId=53&amp;docId=28544","LSRP-SHRQ-612")</f>
        <v>LSRP-SHRQ-612</v>
      </c>
      <c r="B618" s="8" t="s">
        <v>967</v>
      </c>
      <c r="C618" s="35" t="s">
        <v>401</v>
      </c>
      <c r="D618" s="36" t="s">
        <v>43</v>
      </c>
      <c r="E618" s="37" t="s">
        <v>779</v>
      </c>
      <c r="F618" s="35" t="s">
        <v>411</v>
      </c>
      <c r="G618" s="7"/>
      <c r="H618" s="7"/>
      <c r="I618" s="12"/>
    </row>
    <row r="619" spans="1:9" ht="51" x14ac:dyDescent="0.2">
      <c r="A619" s="35" t="str">
        <f>HYPERLINK("https://mississippidhs.jamacloud.com/perspective.req?projectId=53&amp;docId=28545","LSRP-SHRQ-613")</f>
        <v>LSRP-SHRQ-613</v>
      </c>
      <c r="B619" s="8" t="s">
        <v>968</v>
      </c>
      <c r="C619" s="35" t="s">
        <v>401</v>
      </c>
      <c r="D619" s="36" t="s">
        <v>43</v>
      </c>
      <c r="E619" s="37" t="s">
        <v>779</v>
      </c>
      <c r="F619" s="35" t="s">
        <v>411</v>
      </c>
      <c r="G619" s="7"/>
      <c r="H619" s="7"/>
      <c r="I619" s="12"/>
    </row>
    <row r="620" spans="1:9" ht="102" x14ac:dyDescent="0.2">
      <c r="A620" s="35" t="str">
        <f>HYPERLINK("https://mississippidhs.jamacloud.com/perspective.req?projectId=53&amp;docId=28546","LSRP-SHRQ-614")</f>
        <v>LSRP-SHRQ-614</v>
      </c>
      <c r="B620" s="8" t="s">
        <v>969</v>
      </c>
      <c r="C620" s="35" t="s">
        <v>401</v>
      </c>
      <c r="D620" s="36" t="s">
        <v>43</v>
      </c>
      <c r="E620" s="37" t="s">
        <v>779</v>
      </c>
      <c r="F620" s="35" t="s">
        <v>411</v>
      </c>
      <c r="G620" s="7"/>
      <c r="H620" s="7"/>
      <c r="I620" s="12"/>
    </row>
    <row r="621" spans="1:9" ht="38.25" x14ac:dyDescent="0.2">
      <c r="A621" s="35" t="str">
        <f>HYPERLINK("https://mississippidhs.jamacloud.com/perspective.req?projectId=53&amp;docId=28547","LSRP-SHRQ-615")</f>
        <v>LSRP-SHRQ-615</v>
      </c>
      <c r="B621" s="8" t="s">
        <v>970</v>
      </c>
      <c r="C621" s="35" t="s">
        <v>401</v>
      </c>
      <c r="D621" s="36" t="s">
        <v>43</v>
      </c>
      <c r="E621" s="37" t="s">
        <v>779</v>
      </c>
      <c r="F621" s="35" t="s">
        <v>411</v>
      </c>
      <c r="G621" s="7"/>
      <c r="H621" s="7"/>
      <c r="I621" s="12"/>
    </row>
    <row r="622" spans="1:9" ht="51" x14ac:dyDescent="0.2">
      <c r="A622" s="35" t="str">
        <f>HYPERLINK("https://mississippidhs.jamacloud.com/perspective.req?projectId=53&amp;docId=28548","LSRP-SHRQ-616")</f>
        <v>LSRP-SHRQ-616</v>
      </c>
      <c r="B622" s="8" t="s">
        <v>971</v>
      </c>
      <c r="C622" s="35" t="s">
        <v>401</v>
      </c>
      <c r="D622" s="36" t="s">
        <v>43</v>
      </c>
      <c r="E622" s="37" t="s">
        <v>779</v>
      </c>
      <c r="F622" s="35" t="s">
        <v>411</v>
      </c>
      <c r="G622" s="7"/>
      <c r="H622" s="7"/>
      <c r="I622" s="12"/>
    </row>
    <row r="623" spans="1:9" ht="127.5" x14ac:dyDescent="0.2">
      <c r="A623" s="35" t="str">
        <f>HYPERLINK("https://mississippidhs.jamacloud.com/perspective.req?projectId=53&amp;docId=28549","LSRP-SHRQ-617")</f>
        <v>LSRP-SHRQ-617</v>
      </c>
      <c r="B623" s="31" t="s">
        <v>972</v>
      </c>
      <c r="C623" s="35" t="s">
        <v>401</v>
      </c>
      <c r="D623" s="36" t="s">
        <v>43</v>
      </c>
      <c r="E623" s="37" t="s">
        <v>779</v>
      </c>
      <c r="F623" s="35" t="s">
        <v>411</v>
      </c>
      <c r="G623" s="7"/>
      <c r="H623" s="7"/>
      <c r="I623" s="12"/>
    </row>
    <row r="624" spans="1:9" ht="140.25" x14ac:dyDescent="0.2">
      <c r="A624" s="35" t="str">
        <f>HYPERLINK("https://mississippidhs.jamacloud.com/perspective.req?projectId=53&amp;docId=28550","LSRP-SHRQ-618")</f>
        <v>LSRP-SHRQ-618</v>
      </c>
      <c r="B624" s="8" t="s">
        <v>973</v>
      </c>
      <c r="C624" s="35" t="s">
        <v>401</v>
      </c>
      <c r="D624" s="36" t="s">
        <v>43</v>
      </c>
      <c r="E624" s="37" t="s">
        <v>779</v>
      </c>
      <c r="F624" s="35" t="s">
        <v>411</v>
      </c>
      <c r="G624" s="7"/>
      <c r="H624" s="7"/>
      <c r="I624" s="12"/>
    </row>
    <row r="625" spans="1:9" ht="51" x14ac:dyDescent="0.2">
      <c r="A625" s="35" t="str">
        <f>HYPERLINK("https://mississippidhs.jamacloud.com/perspective.req?projectId=53&amp;docId=28551","LSRP-SHRQ-619")</f>
        <v>LSRP-SHRQ-619</v>
      </c>
      <c r="B625" s="8" t="s">
        <v>974</v>
      </c>
      <c r="C625" s="35" t="s">
        <v>401</v>
      </c>
      <c r="D625" s="36" t="s">
        <v>43</v>
      </c>
      <c r="E625" s="37" t="s">
        <v>779</v>
      </c>
      <c r="F625" s="35" t="s">
        <v>411</v>
      </c>
      <c r="G625" s="7"/>
      <c r="H625" s="7"/>
      <c r="I625" s="12"/>
    </row>
    <row r="626" spans="1:9" ht="114.75" x14ac:dyDescent="0.2">
      <c r="A626" s="35" t="str">
        <f>HYPERLINK("https://mississippidhs.jamacloud.com/perspective.req?projectId=53&amp;docId=28552","LSRP-SHRQ-620")</f>
        <v>LSRP-SHRQ-620</v>
      </c>
      <c r="B626" s="8" t="s">
        <v>975</v>
      </c>
      <c r="C626" s="35" t="s">
        <v>401</v>
      </c>
      <c r="D626" s="36" t="s">
        <v>43</v>
      </c>
      <c r="E626" s="37" t="s">
        <v>779</v>
      </c>
      <c r="F626" s="35" t="s">
        <v>411</v>
      </c>
      <c r="G626" s="7"/>
      <c r="H626" s="7"/>
      <c r="I626" s="12"/>
    </row>
    <row r="627" spans="1:9" ht="63.75" x14ac:dyDescent="0.2">
      <c r="A627" s="35" t="str">
        <f>HYPERLINK("https://mississippidhs.jamacloud.com/perspective.req?projectId=53&amp;docId=28553","LSRP-SHRQ-621")</f>
        <v>LSRP-SHRQ-621</v>
      </c>
      <c r="B627" s="8" t="s">
        <v>976</v>
      </c>
      <c r="C627" s="35" t="s">
        <v>401</v>
      </c>
      <c r="D627" s="36" t="s">
        <v>43</v>
      </c>
      <c r="E627" s="37" t="s">
        <v>779</v>
      </c>
      <c r="F627" s="35" t="s">
        <v>411</v>
      </c>
      <c r="G627" s="7"/>
      <c r="H627" s="7"/>
      <c r="I627" s="12"/>
    </row>
    <row r="628" spans="1:9" ht="14.25" x14ac:dyDescent="0.2">
      <c r="A628" s="35" t="str">
        <f>HYPERLINK("https://mississippidhs.jamacloud.com/perspective.req?projectId=53&amp;docId=28554","LSRP-SHRQ-622")</f>
        <v>LSRP-SHRQ-622</v>
      </c>
      <c r="B628" s="8" t="s">
        <v>977</v>
      </c>
      <c r="C628" s="35" t="s">
        <v>401</v>
      </c>
      <c r="D628" s="36" t="s">
        <v>43</v>
      </c>
      <c r="E628" s="37" t="s">
        <v>779</v>
      </c>
      <c r="F628" s="35" t="s">
        <v>898</v>
      </c>
      <c r="G628" s="7"/>
      <c r="H628" s="7"/>
      <c r="I628" s="12"/>
    </row>
    <row r="629" spans="1:9" ht="38.25" x14ac:dyDescent="0.2">
      <c r="A629" s="35" t="str">
        <f>HYPERLINK("https://mississippidhs.jamacloud.com/perspective.req?projectId=53&amp;docId=28555","LSRP-SHRQ-623")</f>
        <v>LSRP-SHRQ-623</v>
      </c>
      <c r="B629" s="8" t="s">
        <v>978</v>
      </c>
      <c r="C629" s="35" t="s">
        <v>401</v>
      </c>
      <c r="D629" s="36" t="s">
        <v>43</v>
      </c>
      <c r="E629" s="37" t="s">
        <v>779</v>
      </c>
      <c r="F629" s="35" t="s">
        <v>909</v>
      </c>
      <c r="G629" s="7"/>
      <c r="H629" s="7"/>
      <c r="I629" s="12"/>
    </row>
    <row r="630" spans="1:9" ht="25.5" x14ac:dyDescent="0.2">
      <c r="A630" s="35" t="str">
        <f>HYPERLINK("https://mississippidhs.jamacloud.com/perspective.req?projectId=53&amp;docId=28556","LSRP-SHRQ-624")</f>
        <v>LSRP-SHRQ-624</v>
      </c>
      <c r="B630" s="8" t="s">
        <v>979</v>
      </c>
      <c r="C630" s="35" t="s">
        <v>401</v>
      </c>
      <c r="D630" s="36" t="s">
        <v>43</v>
      </c>
      <c r="E630" s="37" t="s">
        <v>779</v>
      </c>
      <c r="F630" s="35" t="s">
        <v>898</v>
      </c>
      <c r="G630" s="7"/>
      <c r="H630" s="7"/>
      <c r="I630" s="12"/>
    </row>
    <row r="631" spans="1:9" ht="25.5" x14ac:dyDescent="0.2">
      <c r="A631" s="35" t="str">
        <f>HYPERLINK("https://mississippidhs.jamacloud.com/perspective.req?projectId=53&amp;docId=28557","LSRP-SHRQ-625")</f>
        <v>LSRP-SHRQ-625</v>
      </c>
      <c r="B631" s="8" t="s">
        <v>980</v>
      </c>
      <c r="C631" s="35" t="s">
        <v>401</v>
      </c>
      <c r="D631" s="36" t="s">
        <v>43</v>
      </c>
      <c r="E631" s="37" t="s">
        <v>779</v>
      </c>
      <c r="F631" s="35" t="s">
        <v>411</v>
      </c>
      <c r="G631" s="7"/>
      <c r="H631" s="7"/>
      <c r="I631" s="12"/>
    </row>
    <row r="632" spans="1:9" ht="76.5" x14ac:dyDescent="0.2">
      <c r="A632" s="35" t="str">
        <f>HYPERLINK("https://mississippidhs.jamacloud.com/perspective.req?projectId=53&amp;docId=28558","LSRP-SHRQ-626")</f>
        <v>LSRP-SHRQ-626</v>
      </c>
      <c r="B632" s="8" t="s">
        <v>981</v>
      </c>
      <c r="C632" s="35" t="s">
        <v>401</v>
      </c>
      <c r="D632" s="36" t="s">
        <v>43</v>
      </c>
      <c r="E632" s="37" t="s">
        <v>779</v>
      </c>
      <c r="F632" s="35" t="s">
        <v>411</v>
      </c>
      <c r="G632" s="7"/>
      <c r="H632" s="7"/>
      <c r="I632" s="12"/>
    </row>
    <row r="633" spans="1:9" ht="25.5" x14ac:dyDescent="0.2">
      <c r="A633" s="35" t="str">
        <f>HYPERLINK("https://mississippidhs.jamacloud.com/perspective.req?projectId=53&amp;docId=28559","LSRP-SHRQ-627")</f>
        <v>LSRP-SHRQ-627</v>
      </c>
      <c r="B633" s="8" t="s">
        <v>982</v>
      </c>
      <c r="C633" s="35" t="s">
        <v>401</v>
      </c>
      <c r="D633" s="36" t="s">
        <v>43</v>
      </c>
      <c r="E633" s="37" t="s">
        <v>779</v>
      </c>
      <c r="F633" s="35" t="s">
        <v>590</v>
      </c>
      <c r="G633" s="7"/>
      <c r="H633" s="7"/>
      <c r="I633" s="12"/>
    </row>
    <row r="634" spans="1:9" ht="25.5" x14ac:dyDescent="0.2">
      <c r="A634" s="35" t="str">
        <f>HYPERLINK("https://mississippidhs.jamacloud.com/perspective.req?projectId=53&amp;docId=28560","LSRP-SHRQ-628")</f>
        <v>LSRP-SHRQ-628</v>
      </c>
      <c r="B634" s="8" t="s">
        <v>983</v>
      </c>
      <c r="C634" s="35" t="s">
        <v>401</v>
      </c>
      <c r="D634" s="36" t="s">
        <v>43</v>
      </c>
      <c r="E634" s="37" t="s">
        <v>779</v>
      </c>
      <c r="F634" s="35" t="s">
        <v>909</v>
      </c>
      <c r="G634" s="7"/>
      <c r="H634" s="7"/>
      <c r="I634" s="12"/>
    </row>
    <row r="635" spans="1:9" ht="38.25" x14ac:dyDescent="0.2">
      <c r="A635" s="35" t="str">
        <f>HYPERLINK("https://mississippidhs.jamacloud.com/perspective.req?projectId=53&amp;docId=28561","LSRP-SHRQ-629")</f>
        <v>LSRP-SHRQ-629</v>
      </c>
      <c r="B635" s="8" t="s">
        <v>984</v>
      </c>
      <c r="C635" s="35" t="s">
        <v>401</v>
      </c>
      <c r="D635" s="36" t="s">
        <v>43</v>
      </c>
      <c r="E635" s="37" t="s">
        <v>779</v>
      </c>
      <c r="F635" s="35" t="s">
        <v>411</v>
      </c>
      <c r="G635" s="7"/>
      <c r="H635" s="7"/>
      <c r="I635" s="12"/>
    </row>
    <row r="636" spans="1:9" ht="38.25" x14ac:dyDescent="0.2">
      <c r="A636" s="35" t="str">
        <f>HYPERLINK("https://mississippidhs.jamacloud.com/perspective.req?projectId=53&amp;docId=28562","LSRP-SHRQ-630")</f>
        <v>LSRP-SHRQ-630</v>
      </c>
      <c r="B636" s="8" t="s">
        <v>985</v>
      </c>
      <c r="C636" s="35" t="s">
        <v>401</v>
      </c>
      <c r="D636" s="36" t="s">
        <v>43</v>
      </c>
      <c r="E636" s="37" t="s">
        <v>779</v>
      </c>
      <c r="F636" s="35" t="s">
        <v>906</v>
      </c>
      <c r="G636" s="7"/>
      <c r="H636" s="7"/>
      <c r="I636" s="12"/>
    </row>
    <row r="637" spans="1:9" ht="38.25" x14ac:dyDescent="0.2">
      <c r="A637" s="35" t="str">
        <f>HYPERLINK("https://mississippidhs.jamacloud.com/perspective.req?projectId=53&amp;docId=28563","LSRP-SHRQ-631")</f>
        <v>LSRP-SHRQ-631</v>
      </c>
      <c r="B637" s="8" t="s">
        <v>986</v>
      </c>
      <c r="C637" s="35" t="s">
        <v>401</v>
      </c>
      <c r="D637" s="36" t="s">
        <v>43</v>
      </c>
      <c r="E637" s="37" t="s">
        <v>779</v>
      </c>
      <c r="F637" s="35" t="s">
        <v>411</v>
      </c>
      <c r="G637" s="7"/>
      <c r="H637" s="7"/>
      <c r="I637" s="12"/>
    </row>
    <row r="638" spans="1:9" ht="38.25" x14ac:dyDescent="0.2">
      <c r="A638" s="35" t="str">
        <f>HYPERLINK("https://mississippidhs.jamacloud.com/perspective.req?projectId=53&amp;docId=28564","LSRP-SHRQ-632")</f>
        <v>LSRP-SHRQ-632</v>
      </c>
      <c r="B638" s="8" t="s">
        <v>987</v>
      </c>
      <c r="C638" s="35" t="s">
        <v>401</v>
      </c>
      <c r="D638" s="36" t="s">
        <v>43</v>
      </c>
      <c r="E638" s="37" t="s">
        <v>779</v>
      </c>
      <c r="F638" s="35" t="s">
        <v>411</v>
      </c>
      <c r="G638" s="7"/>
      <c r="H638" s="7"/>
      <c r="I638" s="12"/>
    </row>
    <row r="639" spans="1:9" ht="51" x14ac:dyDescent="0.2">
      <c r="A639" s="35" t="str">
        <f>HYPERLINK("https://mississippidhs.jamacloud.com/perspective.req?projectId=53&amp;docId=28565","LSRP-SHRQ-633")</f>
        <v>LSRP-SHRQ-633</v>
      </c>
      <c r="B639" s="8" t="s">
        <v>988</v>
      </c>
      <c r="C639" s="35" t="s">
        <v>401</v>
      </c>
      <c r="D639" s="36" t="s">
        <v>43</v>
      </c>
      <c r="E639" s="37" t="s">
        <v>779</v>
      </c>
      <c r="F639" s="35" t="s">
        <v>411</v>
      </c>
      <c r="G639" s="7"/>
      <c r="H639" s="7"/>
      <c r="I639" s="12"/>
    </row>
    <row r="640" spans="1:9" ht="38.25" x14ac:dyDescent="0.2">
      <c r="A640" s="35" t="str">
        <f>HYPERLINK("https://mississippidhs.jamacloud.com/perspective.req?projectId=53&amp;docId=28566","LSRP-SHRQ-634")</f>
        <v>LSRP-SHRQ-634</v>
      </c>
      <c r="B640" s="8" t="s">
        <v>989</v>
      </c>
      <c r="C640" s="35" t="s">
        <v>401</v>
      </c>
      <c r="D640" s="36" t="s">
        <v>43</v>
      </c>
      <c r="E640" s="37" t="s">
        <v>779</v>
      </c>
      <c r="F640" s="35" t="s">
        <v>411</v>
      </c>
      <c r="G640" s="7"/>
      <c r="H640" s="7"/>
      <c r="I640" s="12"/>
    </row>
    <row r="641" spans="1:9" ht="63.75" x14ac:dyDescent="0.2">
      <c r="A641" s="35" t="str">
        <f>HYPERLINK("https://mississippidhs.jamacloud.com/perspective.req?projectId=53&amp;docId=28567","LSRP-SHRQ-635")</f>
        <v>LSRP-SHRQ-635</v>
      </c>
      <c r="B641" s="8" t="s">
        <v>990</v>
      </c>
      <c r="C641" s="35" t="s">
        <v>401</v>
      </c>
      <c r="D641" s="36" t="s">
        <v>43</v>
      </c>
      <c r="E641" s="37" t="s">
        <v>779</v>
      </c>
      <c r="F641" s="35" t="s">
        <v>898</v>
      </c>
      <c r="G641" s="7"/>
      <c r="H641" s="7"/>
      <c r="I641" s="12"/>
    </row>
    <row r="642" spans="1:9" ht="38.25" x14ac:dyDescent="0.2">
      <c r="A642" s="35" t="str">
        <f>HYPERLINK("https://mississippidhs.jamacloud.com/perspective.req?projectId=53&amp;docId=28568","LSRP-SHRQ-636")</f>
        <v>LSRP-SHRQ-636</v>
      </c>
      <c r="B642" s="8" t="s">
        <v>991</v>
      </c>
      <c r="C642" s="35" t="s">
        <v>401</v>
      </c>
      <c r="D642" s="36" t="s">
        <v>43</v>
      </c>
      <c r="E642" s="37" t="s">
        <v>779</v>
      </c>
      <c r="F642" s="35" t="s">
        <v>898</v>
      </c>
      <c r="G642" s="7"/>
      <c r="H642" s="7"/>
      <c r="I642" s="12"/>
    </row>
    <row r="643" spans="1:9" ht="25.5" x14ac:dyDescent="0.2">
      <c r="A643" s="35" t="str">
        <f>HYPERLINK("https://mississippidhs.jamacloud.com/perspective.req?projectId=53&amp;docId=28569","LSRP-SHRQ-637")</f>
        <v>LSRP-SHRQ-637</v>
      </c>
      <c r="B643" s="8" t="s">
        <v>992</v>
      </c>
      <c r="C643" s="35" t="s">
        <v>401</v>
      </c>
      <c r="D643" s="36" t="s">
        <v>43</v>
      </c>
      <c r="E643" s="37" t="s">
        <v>779</v>
      </c>
      <c r="F643" s="35" t="s">
        <v>898</v>
      </c>
      <c r="G643" s="7"/>
      <c r="H643" s="7"/>
      <c r="I643" s="12"/>
    </row>
    <row r="644" spans="1:9" ht="38.25" x14ac:dyDescent="0.2">
      <c r="A644" s="35" t="str">
        <f>HYPERLINK("https://mississippidhs.jamacloud.com/perspective.req?projectId=53&amp;docId=28570","LSRP-SHRQ-638")</f>
        <v>LSRP-SHRQ-638</v>
      </c>
      <c r="B644" s="8" t="s">
        <v>993</v>
      </c>
      <c r="C644" s="35" t="s">
        <v>401</v>
      </c>
      <c r="D644" s="36" t="s">
        <v>43</v>
      </c>
      <c r="E644" s="37" t="s">
        <v>779</v>
      </c>
      <c r="F644" s="35" t="s">
        <v>898</v>
      </c>
      <c r="G644" s="7"/>
      <c r="H644" s="7"/>
      <c r="I644" s="12"/>
    </row>
    <row r="645" spans="1:9" ht="25.5" x14ac:dyDescent="0.2">
      <c r="A645" s="35" t="str">
        <f>HYPERLINK("https://mississippidhs.jamacloud.com/perspective.req?projectId=53&amp;docId=28571","LSRP-SHRQ-639")</f>
        <v>LSRP-SHRQ-639</v>
      </c>
      <c r="B645" s="8" t="s">
        <v>994</v>
      </c>
      <c r="C645" s="35" t="s">
        <v>401</v>
      </c>
      <c r="D645" s="36" t="s">
        <v>43</v>
      </c>
      <c r="E645" s="37" t="s">
        <v>779</v>
      </c>
      <c r="F645" s="35" t="s">
        <v>898</v>
      </c>
      <c r="G645" s="7"/>
      <c r="H645" s="7"/>
      <c r="I645" s="12"/>
    </row>
    <row r="646" spans="1:9" ht="38.25" x14ac:dyDescent="0.2">
      <c r="A646" s="35" t="str">
        <f>HYPERLINK("https://mississippidhs.jamacloud.com/perspective.req?projectId=53&amp;docId=28572","LSRP-SHRQ-640")</f>
        <v>LSRP-SHRQ-640</v>
      </c>
      <c r="B646" s="8" t="s">
        <v>995</v>
      </c>
      <c r="C646" s="35" t="s">
        <v>401</v>
      </c>
      <c r="D646" s="36" t="s">
        <v>43</v>
      </c>
      <c r="E646" s="37" t="s">
        <v>779</v>
      </c>
      <c r="F646" s="35" t="s">
        <v>411</v>
      </c>
      <c r="G646" s="7"/>
      <c r="H646" s="7"/>
      <c r="I646" s="12"/>
    </row>
    <row r="647" spans="1:9" ht="25.5" x14ac:dyDescent="0.2">
      <c r="A647" s="35" t="str">
        <f>HYPERLINK("https://mississippidhs.jamacloud.com/perspective.req?projectId=53&amp;docId=28573","LSRP-SHRQ-641")</f>
        <v>LSRP-SHRQ-641</v>
      </c>
      <c r="B647" s="8" t="s">
        <v>996</v>
      </c>
      <c r="C647" s="35" t="s">
        <v>401</v>
      </c>
      <c r="D647" s="36" t="s">
        <v>43</v>
      </c>
      <c r="E647" s="37" t="s">
        <v>779</v>
      </c>
      <c r="F647" s="35" t="s">
        <v>909</v>
      </c>
      <c r="G647" s="7"/>
      <c r="H647" s="7"/>
      <c r="I647" s="12"/>
    </row>
    <row r="648" spans="1:9" ht="51" x14ac:dyDescent="0.2">
      <c r="A648" s="35" t="str">
        <f>HYPERLINK("https://mississippidhs.jamacloud.com/perspective.req?projectId=53&amp;docId=28574","LSRP-SHRQ-642")</f>
        <v>LSRP-SHRQ-642</v>
      </c>
      <c r="B648" s="8" t="s">
        <v>997</v>
      </c>
      <c r="C648" s="35" t="s">
        <v>401</v>
      </c>
      <c r="D648" s="36" t="s">
        <v>43</v>
      </c>
      <c r="E648" s="37" t="s">
        <v>779</v>
      </c>
      <c r="F648" s="35" t="s">
        <v>898</v>
      </c>
      <c r="G648" s="7"/>
      <c r="H648" s="7"/>
      <c r="I648" s="12"/>
    </row>
    <row r="649" spans="1:9" ht="25.5" x14ac:dyDescent="0.2">
      <c r="A649" s="35" t="str">
        <f>HYPERLINK("https://mississippidhs.jamacloud.com/perspective.req?projectId=53&amp;docId=28575","LSRP-SHRQ-643")</f>
        <v>LSRP-SHRQ-643</v>
      </c>
      <c r="B649" s="8" t="s">
        <v>998</v>
      </c>
      <c r="C649" s="35" t="s">
        <v>401</v>
      </c>
      <c r="D649" s="36" t="s">
        <v>43</v>
      </c>
      <c r="E649" s="37" t="s">
        <v>779</v>
      </c>
      <c r="F649" s="35" t="s">
        <v>411</v>
      </c>
      <c r="G649" s="7"/>
      <c r="H649" s="7"/>
      <c r="I649" s="12"/>
    </row>
    <row r="650" spans="1:9" ht="25.5" x14ac:dyDescent="0.2">
      <c r="A650" s="35" t="str">
        <f>HYPERLINK("https://mississippidhs.jamacloud.com/perspective.req?projectId=53&amp;docId=28576","LSRP-SHRQ-644")</f>
        <v>LSRP-SHRQ-644</v>
      </c>
      <c r="B650" s="8" t="s">
        <v>999</v>
      </c>
      <c r="C650" s="35" t="s">
        <v>401</v>
      </c>
      <c r="D650" s="36" t="s">
        <v>43</v>
      </c>
      <c r="E650" s="37" t="s">
        <v>779</v>
      </c>
      <c r="F650" s="35" t="s">
        <v>898</v>
      </c>
      <c r="G650" s="7"/>
      <c r="H650" s="7"/>
      <c r="I650" s="12"/>
    </row>
    <row r="651" spans="1:9" ht="25.5" x14ac:dyDescent="0.2">
      <c r="A651" s="35" t="str">
        <f>HYPERLINK("https://mississippidhs.jamacloud.com/perspective.req?projectId=53&amp;docId=28577","LSRP-SHRQ-645")</f>
        <v>LSRP-SHRQ-645</v>
      </c>
      <c r="B651" s="8" t="s">
        <v>1000</v>
      </c>
      <c r="C651" s="35" t="s">
        <v>401</v>
      </c>
      <c r="D651" s="36" t="s">
        <v>43</v>
      </c>
      <c r="E651" s="37" t="s">
        <v>779</v>
      </c>
      <c r="F651" s="35" t="s">
        <v>898</v>
      </c>
      <c r="G651" s="7"/>
      <c r="H651" s="7"/>
      <c r="I651" s="12"/>
    </row>
    <row r="652" spans="1:9" ht="38.25" x14ac:dyDescent="0.2">
      <c r="A652" s="35" t="str">
        <f>HYPERLINK("https://mississippidhs.jamacloud.com/perspective.req?projectId=53&amp;docId=28578","LSRP-SHRQ-646")</f>
        <v>LSRP-SHRQ-646</v>
      </c>
      <c r="B652" s="8" t="s">
        <v>1001</v>
      </c>
      <c r="C652" s="35" t="s">
        <v>401</v>
      </c>
      <c r="D652" s="36" t="s">
        <v>43</v>
      </c>
      <c r="E652" s="37" t="s">
        <v>779</v>
      </c>
      <c r="F652" s="35" t="s">
        <v>411</v>
      </c>
      <c r="G652" s="7"/>
      <c r="H652" s="7"/>
      <c r="I652" s="12"/>
    </row>
    <row r="653" spans="1:9" ht="25.5" x14ac:dyDescent="0.2">
      <c r="A653" s="35" t="str">
        <f>HYPERLINK("https://mississippidhs.jamacloud.com/perspective.req?projectId=53&amp;docId=28579","LSRP-SHRQ-647")</f>
        <v>LSRP-SHRQ-647</v>
      </c>
      <c r="B653" s="8" t="s">
        <v>1002</v>
      </c>
      <c r="C653" s="35" t="s">
        <v>401</v>
      </c>
      <c r="D653" s="36" t="s">
        <v>43</v>
      </c>
      <c r="E653" s="37" t="s">
        <v>779</v>
      </c>
      <c r="F653" s="35" t="s">
        <v>411</v>
      </c>
      <c r="G653" s="7"/>
      <c r="H653" s="7"/>
      <c r="I653" s="12"/>
    </row>
    <row r="654" spans="1:9" ht="14.25" x14ac:dyDescent="0.2">
      <c r="A654" s="35" t="str">
        <f>HYPERLINK("https://mississippidhs.jamacloud.com/perspective.req?projectId=53&amp;docId=28580","LSRP-SHRQ-648")</f>
        <v>LSRP-SHRQ-648</v>
      </c>
      <c r="B654" s="8" t="s">
        <v>1003</v>
      </c>
      <c r="C654" s="35" t="s">
        <v>401</v>
      </c>
      <c r="D654" s="36" t="s">
        <v>43</v>
      </c>
      <c r="E654" s="37" t="s">
        <v>779</v>
      </c>
      <c r="F654" s="35" t="s">
        <v>898</v>
      </c>
      <c r="G654" s="7"/>
      <c r="H654" s="7"/>
      <c r="I654" s="12"/>
    </row>
    <row r="655" spans="1:9" ht="51" x14ac:dyDescent="0.2">
      <c r="A655" s="35" t="str">
        <f>HYPERLINK("https://mississippidhs.jamacloud.com/perspective.req?projectId=53&amp;docId=28581","LSRP-SHRQ-649")</f>
        <v>LSRP-SHRQ-649</v>
      </c>
      <c r="B655" s="8" t="s">
        <v>1004</v>
      </c>
      <c r="C655" s="35" t="s">
        <v>401</v>
      </c>
      <c r="D655" s="36" t="s">
        <v>43</v>
      </c>
      <c r="E655" s="37" t="s">
        <v>779</v>
      </c>
      <c r="F655" s="35" t="s">
        <v>411</v>
      </c>
      <c r="G655" s="7"/>
      <c r="H655" s="7"/>
      <c r="I655" s="12"/>
    </row>
    <row r="656" spans="1:9" ht="51" x14ac:dyDescent="0.2">
      <c r="A656" s="35" t="str">
        <f>HYPERLINK("https://mississippidhs.jamacloud.com/perspective.req?projectId=53&amp;docId=28582","LSRP-SHRQ-650")</f>
        <v>LSRP-SHRQ-650</v>
      </c>
      <c r="B656" s="8" t="s">
        <v>1005</v>
      </c>
      <c r="C656" s="35" t="s">
        <v>401</v>
      </c>
      <c r="D656" s="36" t="s">
        <v>43</v>
      </c>
      <c r="E656" s="37" t="s">
        <v>779</v>
      </c>
      <c r="F656" s="35" t="s">
        <v>411</v>
      </c>
      <c r="G656" s="7"/>
      <c r="H656" s="7"/>
      <c r="I656" s="12"/>
    </row>
    <row r="657" spans="1:9" ht="76.5" x14ac:dyDescent="0.2">
      <c r="A657" s="35" t="str">
        <f>HYPERLINK("https://mississippidhs.jamacloud.com/perspective.req?projectId=53&amp;docId=28583","LSRP-SHRQ-651")</f>
        <v>LSRP-SHRQ-651</v>
      </c>
      <c r="B657" s="8" t="s">
        <v>1006</v>
      </c>
      <c r="C657" s="35" t="s">
        <v>401</v>
      </c>
      <c r="D657" s="36" t="s">
        <v>43</v>
      </c>
      <c r="E657" s="37" t="s">
        <v>779</v>
      </c>
      <c r="F657" s="35" t="s">
        <v>898</v>
      </c>
      <c r="G657" s="7"/>
      <c r="H657" s="7"/>
      <c r="I657" s="12"/>
    </row>
    <row r="658" spans="1:9" ht="25.5" x14ac:dyDescent="0.2">
      <c r="A658" s="35" t="str">
        <f>HYPERLINK("https://mississippidhs.jamacloud.com/perspective.req?projectId=53&amp;docId=28584","LSRP-SHRQ-652")</f>
        <v>LSRP-SHRQ-652</v>
      </c>
      <c r="B658" s="8" t="s">
        <v>1007</v>
      </c>
      <c r="C658" s="35" t="s">
        <v>401</v>
      </c>
      <c r="D658" s="36" t="s">
        <v>43</v>
      </c>
      <c r="E658" s="37" t="s">
        <v>779</v>
      </c>
      <c r="F658" s="35" t="s">
        <v>411</v>
      </c>
      <c r="G658" s="7"/>
      <c r="H658" s="7"/>
      <c r="I658" s="12"/>
    </row>
    <row r="659" spans="1:9" ht="51" x14ac:dyDescent="0.2">
      <c r="A659" s="35" t="str">
        <f>HYPERLINK("https://mississippidhs.jamacloud.com/perspective.req?projectId=53&amp;docId=28585","LSRP-SHRQ-653")</f>
        <v>LSRP-SHRQ-653</v>
      </c>
      <c r="B659" s="8" t="s">
        <v>1008</v>
      </c>
      <c r="C659" s="35" t="s">
        <v>401</v>
      </c>
      <c r="D659" s="36" t="s">
        <v>43</v>
      </c>
      <c r="E659" s="37" t="s">
        <v>779</v>
      </c>
      <c r="F659" s="35" t="s">
        <v>898</v>
      </c>
      <c r="G659" s="7"/>
      <c r="H659" s="7"/>
      <c r="I659" s="12"/>
    </row>
    <row r="660" spans="1:9" ht="25.5" x14ac:dyDescent="0.2">
      <c r="A660" s="35" t="str">
        <f>HYPERLINK("https://mississippidhs.jamacloud.com/perspective.req?projectId=53&amp;docId=28586","LSRP-SHRQ-654")</f>
        <v>LSRP-SHRQ-654</v>
      </c>
      <c r="B660" s="8" t="s">
        <v>1009</v>
      </c>
      <c r="C660" s="35" t="s">
        <v>401</v>
      </c>
      <c r="D660" s="36" t="s">
        <v>43</v>
      </c>
      <c r="E660" s="37" t="s">
        <v>779</v>
      </c>
      <c r="F660" s="35" t="s">
        <v>898</v>
      </c>
      <c r="G660" s="7"/>
      <c r="H660" s="7"/>
      <c r="I660" s="12"/>
    </row>
    <row r="661" spans="1:9" ht="14.25" x14ac:dyDescent="0.2">
      <c r="A661" s="35" t="str">
        <f>HYPERLINK("https://mississippidhs.jamacloud.com/perspective.req?projectId=53&amp;docId=28587","LSRP-SHRQ-655")</f>
        <v>LSRP-SHRQ-655</v>
      </c>
      <c r="B661" s="8" t="s">
        <v>1010</v>
      </c>
      <c r="C661" s="35" t="s">
        <v>401</v>
      </c>
      <c r="D661" s="36" t="s">
        <v>43</v>
      </c>
      <c r="E661" s="37" t="s">
        <v>779</v>
      </c>
      <c r="F661" s="35" t="s">
        <v>411</v>
      </c>
      <c r="G661" s="7"/>
      <c r="H661" s="7"/>
      <c r="I661" s="12"/>
    </row>
    <row r="662" spans="1:9" ht="14.25" x14ac:dyDescent="0.2">
      <c r="A662" s="35" t="str">
        <f>HYPERLINK("https://mississippidhs.jamacloud.com/perspective.req?projectId=53&amp;docId=28588","LSRP-SHRQ-656")</f>
        <v>LSRP-SHRQ-656</v>
      </c>
      <c r="B662" s="8" t="s">
        <v>1011</v>
      </c>
      <c r="C662" s="35" t="s">
        <v>401</v>
      </c>
      <c r="D662" s="36" t="s">
        <v>43</v>
      </c>
      <c r="E662" s="37" t="s">
        <v>779</v>
      </c>
      <c r="F662" s="35" t="s">
        <v>545</v>
      </c>
      <c r="G662" s="7"/>
      <c r="H662" s="7"/>
      <c r="I662" s="12"/>
    </row>
    <row r="663" spans="1:9" ht="38.25" x14ac:dyDescent="0.2">
      <c r="A663" s="35" t="str">
        <f>HYPERLINK("https://mississippidhs.jamacloud.com/perspective.req?projectId=53&amp;docId=28589","LSRP-SHRQ-657")</f>
        <v>LSRP-SHRQ-657</v>
      </c>
      <c r="B663" s="8" t="s">
        <v>1012</v>
      </c>
      <c r="C663" s="35" t="s">
        <v>401</v>
      </c>
      <c r="D663" s="36" t="s">
        <v>43</v>
      </c>
      <c r="E663" s="37" t="s">
        <v>779</v>
      </c>
      <c r="F663" s="35" t="s">
        <v>545</v>
      </c>
      <c r="G663" s="7"/>
      <c r="H663" s="7"/>
      <c r="I663" s="12"/>
    </row>
    <row r="664" spans="1:9" ht="25.5" x14ac:dyDescent="0.2">
      <c r="A664" s="35" t="str">
        <f>HYPERLINK("https://mississippidhs.jamacloud.com/perspective.req?projectId=53&amp;docId=28590","LSRP-SHRQ-658")</f>
        <v>LSRP-SHRQ-658</v>
      </c>
      <c r="B664" s="8" t="s">
        <v>1013</v>
      </c>
      <c r="C664" s="35" t="s">
        <v>401</v>
      </c>
      <c r="D664" s="36" t="s">
        <v>43</v>
      </c>
      <c r="E664" s="37" t="s">
        <v>779</v>
      </c>
      <c r="F664" s="35" t="s">
        <v>545</v>
      </c>
      <c r="G664" s="7"/>
      <c r="H664" s="7"/>
      <c r="I664" s="12"/>
    </row>
    <row r="665" spans="1:9" ht="25.5" x14ac:dyDescent="0.2">
      <c r="A665" s="35" t="str">
        <f>HYPERLINK("https://mississippidhs.jamacloud.com/perspective.req?projectId=53&amp;docId=28591","LSRP-SHRQ-659")</f>
        <v>LSRP-SHRQ-659</v>
      </c>
      <c r="B665" s="8" t="s">
        <v>1014</v>
      </c>
      <c r="C665" s="35" t="s">
        <v>401</v>
      </c>
      <c r="D665" s="36" t="s">
        <v>43</v>
      </c>
      <c r="E665" s="37" t="s">
        <v>779</v>
      </c>
      <c r="F665" s="35" t="s">
        <v>545</v>
      </c>
      <c r="G665" s="7"/>
      <c r="H665" s="7"/>
      <c r="I665" s="12"/>
    </row>
    <row r="666" spans="1:9" ht="25.5" x14ac:dyDescent="0.2">
      <c r="A666" s="35" t="str">
        <f>HYPERLINK("https://mississippidhs.jamacloud.com/perspective.req?projectId=53&amp;docId=28592","LSRP-SHRQ-660")</f>
        <v>LSRP-SHRQ-660</v>
      </c>
      <c r="B666" s="8" t="s">
        <v>1015</v>
      </c>
      <c r="C666" s="35" t="s">
        <v>401</v>
      </c>
      <c r="D666" s="36" t="s">
        <v>43</v>
      </c>
      <c r="E666" s="37" t="s">
        <v>779</v>
      </c>
      <c r="F666" s="35" t="s">
        <v>545</v>
      </c>
      <c r="G666" s="7"/>
      <c r="H666" s="7"/>
      <c r="I666" s="12"/>
    </row>
    <row r="667" spans="1:9" ht="25.5" x14ac:dyDescent="0.2">
      <c r="A667" s="35" t="str">
        <f>HYPERLINK("https://mississippidhs.jamacloud.com/perspective.req?projectId=53&amp;docId=28593","LSRP-SHRQ-661")</f>
        <v>LSRP-SHRQ-661</v>
      </c>
      <c r="B667" s="8" t="s">
        <v>1016</v>
      </c>
      <c r="C667" s="35" t="s">
        <v>401</v>
      </c>
      <c r="D667" s="36" t="s">
        <v>43</v>
      </c>
      <c r="E667" s="37" t="s">
        <v>779</v>
      </c>
      <c r="F667" s="35" t="s">
        <v>545</v>
      </c>
      <c r="G667" s="7"/>
      <c r="H667" s="7"/>
      <c r="I667" s="12"/>
    </row>
    <row r="668" spans="1:9" ht="14.25" x14ac:dyDescent="0.2">
      <c r="A668" s="35" t="str">
        <f>HYPERLINK("https://mississippidhs.jamacloud.com/perspective.req?projectId=53&amp;docId=28594","LSRP-SHRQ-662")</f>
        <v>LSRP-SHRQ-662</v>
      </c>
      <c r="B668" s="8" t="s">
        <v>1017</v>
      </c>
      <c r="C668" s="35" t="s">
        <v>401</v>
      </c>
      <c r="D668" s="36" t="s">
        <v>43</v>
      </c>
      <c r="E668" s="37" t="s">
        <v>779</v>
      </c>
      <c r="F668" s="35" t="s">
        <v>898</v>
      </c>
      <c r="G668" s="7"/>
      <c r="H668" s="7"/>
      <c r="I668" s="12"/>
    </row>
    <row r="669" spans="1:9" ht="25.5" x14ac:dyDescent="0.2">
      <c r="A669" s="35" t="str">
        <f>HYPERLINK("https://mississippidhs.jamacloud.com/perspective.req?projectId=53&amp;docId=28595","LSRP-SHRQ-663")</f>
        <v>LSRP-SHRQ-663</v>
      </c>
      <c r="B669" s="8" t="s">
        <v>1018</v>
      </c>
      <c r="C669" s="35" t="s">
        <v>401</v>
      </c>
      <c r="D669" s="36" t="s">
        <v>43</v>
      </c>
      <c r="E669" s="37" t="s">
        <v>779</v>
      </c>
      <c r="F669" s="35" t="s">
        <v>898</v>
      </c>
      <c r="G669" s="7"/>
      <c r="H669" s="7"/>
      <c r="I669" s="12"/>
    </row>
    <row r="670" spans="1:9" ht="25.5" x14ac:dyDescent="0.2">
      <c r="A670" s="35" t="str">
        <f>HYPERLINK("https://mississippidhs.jamacloud.com/perspective.req?projectId=53&amp;docId=28596","LSRP-SHRQ-664")</f>
        <v>LSRP-SHRQ-664</v>
      </c>
      <c r="B670" s="8" t="s">
        <v>1019</v>
      </c>
      <c r="C670" s="35" t="s">
        <v>401</v>
      </c>
      <c r="D670" s="36" t="s">
        <v>43</v>
      </c>
      <c r="E670" s="37" t="s">
        <v>779</v>
      </c>
      <c r="F670" s="35" t="s">
        <v>1020</v>
      </c>
      <c r="G670" s="7"/>
      <c r="H670" s="7"/>
      <c r="I670" s="12"/>
    </row>
    <row r="671" spans="1:9" ht="25.5" x14ac:dyDescent="0.2">
      <c r="A671" s="35" t="str">
        <f>HYPERLINK("https://mississippidhs.jamacloud.com/perspective.req?projectId=53&amp;docId=28597","LSRP-SHRQ-665")</f>
        <v>LSRP-SHRQ-665</v>
      </c>
      <c r="B671" s="8" t="s">
        <v>1021</v>
      </c>
      <c r="C671" s="35" t="s">
        <v>401</v>
      </c>
      <c r="D671" s="36" t="s">
        <v>43</v>
      </c>
      <c r="E671" s="37" t="s">
        <v>779</v>
      </c>
      <c r="F671" s="35" t="s">
        <v>1020</v>
      </c>
      <c r="G671" s="7"/>
      <c r="H671" s="7"/>
      <c r="I671" s="12"/>
    </row>
    <row r="672" spans="1:9" ht="25.5" x14ac:dyDescent="0.2">
      <c r="A672" s="35" t="str">
        <f>HYPERLINK("https://mississippidhs.jamacloud.com/perspective.req?projectId=53&amp;docId=28598","LSRP-SHRQ-666")</f>
        <v>LSRP-SHRQ-666</v>
      </c>
      <c r="B672" s="8" t="s">
        <v>1022</v>
      </c>
      <c r="C672" s="35" t="s">
        <v>401</v>
      </c>
      <c r="D672" s="36" t="s">
        <v>43</v>
      </c>
      <c r="E672" s="37" t="s">
        <v>779</v>
      </c>
      <c r="F672" s="35" t="s">
        <v>590</v>
      </c>
      <c r="G672" s="7"/>
      <c r="H672" s="7"/>
      <c r="I672" s="12"/>
    </row>
    <row r="673" spans="1:9" ht="14.25" x14ac:dyDescent="0.2">
      <c r="A673" s="35" t="str">
        <f>HYPERLINK("https://mississippidhs.jamacloud.com/perspective.req?projectId=53&amp;docId=28599","LSRP-SHRQ-667")</f>
        <v>LSRP-SHRQ-667</v>
      </c>
      <c r="B673" s="8" t="s">
        <v>1023</v>
      </c>
      <c r="C673" s="35" t="s">
        <v>401</v>
      </c>
      <c r="D673" s="36" t="s">
        <v>43</v>
      </c>
      <c r="E673" s="37" t="s">
        <v>779</v>
      </c>
      <c r="F673" s="35" t="s">
        <v>452</v>
      </c>
      <c r="G673" s="7"/>
      <c r="H673" s="7"/>
      <c r="I673" s="12"/>
    </row>
    <row r="674" spans="1:9" ht="14.25" x14ac:dyDescent="0.2">
      <c r="A674" s="35" t="str">
        <f>HYPERLINK("https://mississippidhs.jamacloud.com/perspective.req?projectId=53&amp;docId=28600","LSRP-SHRQ-668")</f>
        <v>LSRP-SHRQ-668</v>
      </c>
      <c r="B674" s="8" t="s">
        <v>1024</v>
      </c>
      <c r="C674" s="35" t="s">
        <v>401</v>
      </c>
      <c r="D674" s="36" t="s">
        <v>43</v>
      </c>
      <c r="E674" s="37" t="s">
        <v>779</v>
      </c>
      <c r="F674" s="35" t="s">
        <v>452</v>
      </c>
      <c r="G674" s="7"/>
      <c r="H674" s="7"/>
      <c r="I674" s="12"/>
    </row>
    <row r="675" spans="1:9" ht="25.5" x14ac:dyDescent="0.2">
      <c r="A675" s="35" t="str">
        <f>HYPERLINK("https://mississippidhs.jamacloud.com/perspective.req?projectId=53&amp;docId=28601","LSRP-SHRQ-669")</f>
        <v>LSRP-SHRQ-669</v>
      </c>
      <c r="B675" s="8" t="s">
        <v>1025</v>
      </c>
      <c r="C675" s="35" t="s">
        <v>401</v>
      </c>
      <c r="D675" s="36" t="s">
        <v>43</v>
      </c>
      <c r="E675" s="37" t="s">
        <v>779</v>
      </c>
      <c r="F675" s="35" t="s">
        <v>898</v>
      </c>
      <c r="G675" s="7"/>
      <c r="H675" s="7"/>
      <c r="I675" s="12"/>
    </row>
    <row r="676" spans="1:9" ht="14.25" x14ac:dyDescent="0.2">
      <c r="A676" s="35" t="str">
        <f>HYPERLINK("https://mississippidhs.jamacloud.com/perspective.req?projectId=53&amp;docId=28602","LSRP-SHRQ-670")</f>
        <v>LSRP-SHRQ-670</v>
      </c>
      <c r="B676" s="8" t="s">
        <v>1026</v>
      </c>
      <c r="C676" s="35" t="s">
        <v>401</v>
      </c>
      <c r="D676" s="36" t="s">
        <v>43</v>
      </c>
      <c r="E676" s="37" t="s">
        <v>779</v>
      </c>
      <c r="F676" s="35" t="s">
        <v>898</v>
      </c>
      <c r="G676" s="7"/>
      <c r="H676" s="7"/>
      <c r="I676" s="12"/>
    </row>
    <row r="677" spans="1:9" ht="14.25" x14ac:dyDescent="0.2">
      <c r="A677" s="35" t="str">
        <f>HYPERLINK("https://mississippidhs.jamacloud.com/perspective.req?projectId=53&amp;docId=28603","LSRP-SHRQ-671")</f>
        <v>LSRP-SHRQ-671</v>
      </c>
      <c r="B677" s="8" t="s">
        <v>1027</v>
      </c>
      <c r="C677" s="35" t="s">
        <v>401</v>
      </c>
      <c r="D677" s="36" t="s">
        <v>43</v>
      </c>
      <c r="E677" s="37" t="s">
        <v>779</v>
      </c>
      <c r="F677" s="35" t="s">
        <v>545</v>
      </c>
      <c r="G677" s="7"/>
      <c r="H677" s="7"/>
      <c r="I677" s="12"/>
    </row>
    <row r="678" spans="1:9" ht="14.25" x14ac:dyDescent="0.2">
      <c r="A678" s="35" t="str">
        <f>HYPERLINK("https://mississippidhs.jamacloud.com/perspective.req?projectId=53&amp;docId=28604","LSRP-SHRQ-672")</f>
        <v>LSRP-SHRQ-672</v>
      </c>
      <c r="B678" s="8" t="s">
        <v>1028</v>
      </c>
      <c r="C678" s="35" t="s">
        <v>401</v>
      </c>
      <c r="D678" s="36" t="s">
        <v>43</v>
      </c>
      <c r="E678" s="37" t="s">
        <v>779</v>
      </c>
      <c r="F678" s="35" t="s">
        <v>898</v>
      </c>
      <c r="G678" s="7"/>
      <c r="H678" s="7"/>
      <c r="I678" s="12"/>
    </row>
    <row r="679" spans="1:9" ht="51" x14ac:dyDescent="0.2">
      <c r="A679" s="35" t="str">
        <f>HYPERLINK("https://mississippidhs.jamacloud.com/perspective.req?projectId=53&amp;docId=28605","LSRP-SHRQ-673")</f>
        <v>LSRP-SHRQ-673</v>
      </c>
      <c r="B679" s="8" t="s">
        <v>1029</v>
      </c>
      <c r="C679" s="35" t="s">
        <v>401</v>
      </c>
      <c r="D679" s="36" t="s">
        <v>43</v>
      </c>
      <c r="E679" s="37" t="s">
        <v>779</v>
      </c>
      <c r="F679" s="35" t="s">
        <v>898</v>
      </c>
      <c r="G679" s="7"/>
      <c r="H679" s="7"/>
      <c r="I679" s="12"/>
    </row>
    <row r="680" spans="1:9" ht="51" x14ac:dyDescent="0.2">
      <c r="A680" s="35" t="str">
        <f>HYPERLINK("https://mississippidhs.jamacloud.com/perspective.req?projectId=53&amp;docId=28606","LSRP-SHRQ-674")</f>
        <v>LSRP-SHRQ-674</v>
      </c>
      <c r="B680" s="8" t="s">
        <v>1030</v>
      </c>
      <c r="C680" s="35" t="s">
        <v>401</v>
      </c>
      <c r="D680" s="36" t="s">
        <v>43</v>
      </c>
      <c r="E680" s="37" t="s">
        <v>779</v>
      </c>
      <c r="F680" s="35" t="s">
        <v>898</v>
      </c>
      <c r="G680" s="7"/>
      <c r="H680" s="7"/>
      <c r="I680" s="12"/>
    </row>
    <row r="681" spans="1:9" ht="14.25" x14ac:dyDescent="0.2">
      <c r="A681" s="35" t="str">
        <f>HYPERLINK("https://mississippidhs.jamacloud.com/perspective.req?projectId=53&amp;docId=28607","LSRP-SHRQ-675")</f>
        <v>LSRP-SHRQ-675</v>
      </c>
      <c r="B681" s="8" t="s">
        <v>1031</v>
      </c>
      <c r="C681" s="35" t="s">
        <v>401</v>
      </c>
      <c r="D681" s="36" t="s">
        <v>43</v>
      </c>
      <c r="E681" s="37" t="s">
        <v>779</v>
      </c>
      <c r="F681" s="35" t="s">
        <v>545</v>
      </c>
      <c r="G681" s="7"/>
      <c r="H681" s="7"/>
      <c r="I681" s="12"/>
    </row>
    <row r="682" spans="1:9" ht="25.5" x14ac:dyDescent="0.2">
      <c r="A682" s="35" t="str">
        <f>HYPERLINK("https://mississippidhs.jamacloud.com/perspective.req?projectId=53&amp;docId=28608","LSRP-SHRQ-676")</f>
        <v>LSRP-SHRQ-676</v>
      </c>
      <c r="B682" s="8" t="s">
        <v>1032</v>
      </c>
      <c r="C682" s="35" t="s">
        <v>401</v>
      </c>
      <c r="D682" s="36" t="s">
        <v>43</v>
      </c>
      <c r="E682" s="37" t="s">
        <v>779</v>
      </c>
      <c r="F682" s="35" t="s">
        <v>545</v>
      </c>
      <c r="G682" s="7"/>
      <c r="H682" s="7"/>
      <c r="I682" s="12"/>
    </row>
    <row r="683" spans="1:9" ht="25.5" x14ac:dyDescent="0.2">
      <c r="A683" s="35" t="str">
        <f>HYPERLINK("https://mississippidhs.jamacloud.com/perspective.req?projectId=53&amp;docId=28609","LSRP-SHRQ-677")</f>
        <v>LSRP-SHRQ-677</v>
      </c>
      <c r="B683" s="8" t="s">
        <v>1033</v>
      </c>
      <c r="C683" s="35" t="s">
        <v>401</v>
      </c>
      <c r="D683" s="36" t="s">
        <v>43</v>
      </c>
      <c r="E683" s="37" t="s">
        <v>779</v>
      </c>
      <c r="F683" s="35" t="s">
        <v>545</v>
      </c>
      <c r="G683" s="7"/>
      <c r="H683" s="7"/>
      <c r="I683" s="12"/>
    </row>
    <row r="684" spans="1:9" ht="25.5" x14ac:dyDescent="0.2">
      <c r="A684" s="35" t="str">
        <f>HYPERLINK("https://mississippidhs.jamacloud.com/perspective.req?projectId=53&amp;docId=28610","LSRP-SHRQ-678")</f>
        <v>LSRP-SHRQ-678</v>
      </c>
      <c r="B684" s="8" t="s">
        <v>1034</v>
      </c>
      <c r="C684" s="35" t="s">
        <v>401</v>
      </c>
      <c r="D684" s="36" t="s">
        <v>43</v>
      </c>
      <c r="E684" s="37" t="s">
        <v>779</v>
      </c>
      <c r="F684" s="35" t="s">
        <v>545</v>
      </c>
      <c r="G684" s="7"/>
      <c r="H684" s="7"/>
      <c r="I684" s="12"/>
    </row>
    <row r="685" spans="1:9" ht="25.5" x14ac:dyDescent="0.2">
      <c r="A685" s="35" t="str">
        <f>HYPERLINK("https://mississippidhs.jamacloud.com/perspective.req?projectId=53&amp;docId=29738","LSRP-SHRQ-1792")</f>
        <v>LSRP-SHRQ-1792</v>
      </c>
      <c r="B685" s="31" t="s">
        <v>1035</v>
      </c>
      <c r="C685" s="35" t="s">
        <v>401</v>
      </c>
      <c r="D685" s="36" t="s">
        <v>43</v>
      </c>
      <c r="E685" s="37" t="s">
        <v>779</v>
      </c>
      <c r="F685" s="35" t="s">
        <v>1036</v>
      </c>
      <c r="G685" s="7"/>
      <c r="H685" s="7"/>
      <c r="I685" s="12"/>
    </row>
    <row r="686" spans="1:9" ht="25.5" x14ac:dyDescent="0.2">
      <c r="A686" s="35" t="str">
        <f>HYPERLINK("https://mississippidhs.jamacloud.com/perspective.req?projectId=53&amp;docId=28612","LSRP-SHRQ-679")</f>
        <v>LSRP-SHRQ-679</v>
      </c>
      <c r="B686" s="8" t="s">
        <v>1037</v>
      </c>
      <c r="C686" s="35" t="s">
        <v>401</v>
      </c>
      <c r="D686" s="36" t="s">
        <v>31</v>
      </c>
      <c r="E686" s="37" t="s">
        <v>779</v>
      </c>
      <c r="F686" s="35" t="s">
        <v>322</v>
      </c>
      <c r="G686" s="7"/>
      <c r="H686" s="7"/>
      <c r="I686" s="12"/>
    </row>
    <row r="687" spans="1:9" ht="38.25" x14ac:dyDescent="0.2">
      <c r="A687" s="35" t="str">
        <f>HYPERLINK("https://mississippidhs.jamacloud.com/perspective.req?projectId=53&amp;docId=28613","LSRP-SHRQ-680")</f>
        <v>LSRP-SHRQ-680</v>
      </c>
      <c r="B687" s="8" t="s">
        <v>1038</v>
      </c>
      <c r="C687" s="35" t="s">
        <v>401</v>
      </c>
      <c r="D687" s="36" t="s">
        <v>31</v>
      </c>
      <c r="E687" s="37" t="s">
        <v>779</v>
      </c>
      <c r="F687" s="35" t="s">
        <v>322</v>
      </c>
      <c r="G687" s="7"/>
      <c r="H687" s="7"/>
      <c r="I687" s="12"/>
    </row>
    <row r="688" spans="1:9" ht="25.5" x14ac:dyDescent="0.2">
      <c r="A688" s="35" t="str">
        <f>HYPERLINK("https://mississippidhs.jamacloud.com/perspective.req?projectId=53&amp;docId=28614","LSRP-SHRQ-681")</f>
        <v>LSRP-SHRQ-681</v>
      </c>
      <c r="B688" s="8" t="s">
        <v>1039</v>
      </c>
      <c r="C688" s="35" t="s">
        <v>401</v>
      </c>
      <c r="D688" s="36" t="s">
        <v>31</v>
      </c>
      <c r="E688" s="37" t="s">
        <v>779</v>
      </c>
      <c r="F688" s="35" t="s">
        <v>322</v>
      </c>
      <c r="G688" s="7"/>
      <c r="H688" s="7"/>
      <c r="I688" s="12"/>
    </row>
    <row r="689" spans="1:9" ht="25.5" x14ac:dyDescent="0.2">
      <c r="A689" s="35" t="str">
        <f>HYPERLINK("https://mississippidhs.jamacloud.com/perspective.req?projectId=53&amp;docId=28615","LSRP-SHRQ-682")</f>
        <v>LSRP-SHRQ-682</v>
      </c>
      <c r="B689" s="8" t="s">
        <v>1040</v>
      </c>
      <c r="C689" s="35" t="s">
        <v>401</v>
      </c>
      <c r="D689" s="36" t="s">
        <v>31</v>
      </c>
      <c r="E689" s="37" t="s">
        <v>779</v>
      </c>
      <c r="F689" s="35" t="s">
        <v>322</v>
      </c>
      <c r="G689" s="7"/>
      <c r="H689" s="7"/>
      <c r="I689" s="12"/>
    </row>
    <row r="690" spans="1:9" ht="38.25" x14ac:dyDescent="0.2">
      <c r="A690" s="35" t="str">
        <f>HYPERLINK("https://mississippidhs.jamacloud.com/perspective.req?projectId=53&amp;docId=28616","LSRP-SHRQ-683")</f>
        <v>LSRP-SHRQ-683</v>
      </c>
      <c r="B690" s="8" t="s">
        <v>1041</v>
      </c>
      <c r="C690" s="35" t="s">
        <v>401</v>
      </c>
      <c r="D690" s="36" t="s">
        <v>31</v>
      </c>
      <c r="E690" s="37" t="s">
        <v>779</v>
      </c>
      <c r="F690" s="35" t="s">
        <v>322</v>
      </c>
      <c r="G690" s="7"/>
      <c r="H690" s="7"/>
      <c r="I690" s="12"/>
    </row>
    <row r="691" spans="1:9" ht="25.5" x14ac:dyDescent="0.2">
      <c r="A691" s="35" t="str">
        <f>HYPERLINK("https://mississippidhs.jamacloud.com/perspective.req?projectId=53&amp;docId=28617","LSRP-SHRQ-684")</f>
        <v>LSRP-SHRQ-684</v>
      </c>
      <c r="B691" s="8" t="s">
        <v>1042</v>
      </c>
      <c r="C691" s="35" t="s">
        <v>401</v>
      </c>
      <c r="D691" s="36" t="s">
        <v>31</v>
      </c>
      <c r="E691" s="37" t="s">
        <v>779</v>
      </c>
      <c r="F691" s="35" t="s">
        <v>322</v>
      </c>
      <c r="G691" s="7"/>
      <c r="H691" s="7"/>
      <c r="I691" s="12"/>
    </row>
    <row r="692" spans="1:9" ht="25.5" x14ac:dyDescent="0.2">
      <c r="A692" s="35" t="str">
        <f>HYPERLINK("https://mississippidhs.jamacloud.com/perspective.req?projectId=53&amp;docId=28618","LSRP-SHRQ-685")</f>
        <v>LSRP-SHRQ-685</v>
      </c>
      <c r="B692" s="8" t="s">
        <v>1043</v>
      </c>
      <c r="C692" s="35" t="s">
        <v>401</v>
      </c>
      <c r="D692" s="36" t="s">
        <v>31</v>
      </c>
      <c r="E692" s="37" t="s">
        <v>779</v>
      </c>
      <c r="F692" s="35" t="s">
        <v>322</v>
      </c>
      <c r="G692" s="7"/>
      <c r="H692" s="7"/>
      <c r="I692" s="12"/>
    </row>
    <row r="693" spans="1:9" ht="25.5" x14ac:dyDescent="0.2">
      <c r="A693" s="35" t="str">
        <f>HYPERLINK("https://mississippidhs.jamacloud.com/perspective.req?projectId=53&amp;docId=28619","LSRP-SHRQ-686")</f>
        <v>LSRP-SHRQ-686</v>
      </c>
      <c r="B693" s="8" t="s">
        <v>1044</v>
      </c>
      <c r="C693" s="35" t="s">
        <v>401</v>
      </c>
      <c r="D693" s="36" t="s">
        <v>31</v>
      </c>
      <c r="E693" s="37" t="s">
        <v>779</v>
      </c>
      <c r="F693" s="35" t="s">
        <v>322</v>
      </c>
      <c r="G693" s="7"/>
      <c r="H693" s="7"/>
      <c r="I693" s="12"/>
    </row>
    <row r="694" spans="1:9" ht="25.5" x14ac:dyDescent="0.2">
      <c r="A694" s="35" t="str">
        <f>HYPERLINK("https://mississippidhs.jamacloud.com/perspective.req?projectId=53&amp;docId=28620","LSRP-SHRQ-687")</f>
        <v>LSRP-SHRQ-687</v>
      </c>
      <c r="B694" s="8" t="s">
        <v>1045</v>
      </c>
      <c r="C694" s="35" t="s">
        <v>401</v>
      </c>
      <c r="D694" s="36" t="s">
        <v>31</v>
      </c>
      <c r="E694" s="37" t="s">
        <v>779</v>
      </c>
      <c r="F694" s="35" t="s">
        <v>322</v>
      </c>
      <c r="G694" s="7"/>
      <c r="H694" s="7"/>
      <c r="I694" s="12"/>
    </row>
    <row r="695" spans="1:9" ht="38.25" x14ac:dyDescent="0.2">
      <c r="A695" s="35" t="str">
        <f>HYPERLINK("https://mississippidhs.jamacloud.com/perspective.req?projectId=53&amp;docId=28621","LSRP-SHRQ-688")</f>
        <v>LSRP-SHRQ-688</v>
      </c>
      <c r="B695" s="8" t="s">
        <v>1046</v>
      </c>
      <c r="C695" s="35" t="s">
        <v>401</v>
      </c>
      <c r="D695" s="36" t="s">
        <v>31</v>
      </c>
      <c r="E695" s="37" t="s">
        <v>779</v>
      </c>
      <c r="F695" s="35" t="s">
        <v>322</v>
      </c>
      <c r="G695" s="7"/>
      <c r="H695" s="7"/>
      <c r="I695" s="12"/>
    </row>
    <row r="696" spans="1:9" ht="25.5" x14ac:dyDescent="0.2">
      <c r="A696" s="35" t="str">
        <f>HYPERLINK("https://mississippidhs.jamacloud.com/perspective.req?projectId=53&amp;docId=28622","LSRP-SHRQ-689")</f>
        <v>LSRP-SHRQ-689</v>
      </c>
      <c r="B696" s="8" t="s">
        <v>1047</v>
      </c>
      <c r="C696" s="35" t="s">
        <v>401</v>
      </c>
      <c r="D696" s="36" t="s">
        <v>31</v>
      </c>
      <c r="E696" s="37" t="s">
        <v>779</v>
      </c>
      <c r="F696" s="35" t="s">
        <v>322</v>
      </c>
      <c r="G696" s="7"/>
      <c r="H696" s="7"/>
      <c r="I696" s="12"/>
    </row>
    <row r="697" spans="1:9" ht="38.25" x14ac:dyDescent="0.2">
      <c r="A697" s="35" t="str">
        <f>HYPERLINK("https://mississippidhs.jamacloud.com/perspective.req?projectId=53&amp;docId=28623","LSRP-SHRQ-690")</f>
        <v>LSRP-SHRQ-690</v>
      </c>
      <c r="B697" s="8" t="s">
        <v>1048</v>
      </c>
      <c r="C697" s="35" t="s">
        <v>401</v>
      </c>
      <c r="D697" s="36" t="s">
        <v>31</v>
      </c>
      <c r="E697" s="37" t="s">
        <v>779</v>
      </c>
      <c r="F697" s="35" t="s">
        <v>322</v>
      </c>
      <c r="G697" s="7"/>
      <c r="H697" s="7"/>
      <c r="I697" s="12"/>
    </row>
    <row r="698" spans="1:9" ht="25.5" x14ac:dyDescent="0.2">
      <c r="A698" s="35" t="str">
        <f>HYPERLINK("https://mississippidhs.jamacloud.com/perspective.req?projectId=53&amp;docId=28624","LSRP-SHRQ-691")</f>
        <v>LSRP-SHRQ-691</v>
      </c>
      <c r="B698" s="8" t="s">
        <v>1049</v>
      </c>
      <c r="C698" s="35" t="s">
        <v>401</v>
      </c>
      <c r="D698" s="36" t="s">
        <v>31</v>
      </c>
      <c r="E698" s="37" t="s">
        <v>779</v>
      </c>
      <c r="F698" s="35" t="s">
        <v>322</v>
      </c>
      <c r="G698" s="7"/>
      <c r="H698" s="7"/>
      <c r="I698" s="12"/>
    </row>
    <row r="699" spans="1:9" ht="38.25" x14ac:dyDescent="0.2">
      <c r="A699" s="35" t="str">
        <f>HYPERLINK("https://mississippidhs.jamacloud.com/perspective.req?projectId=53&amp;docId=28625","LSRP-SHRQ-692")</f>
        <v>LSRP-SHRQ-692</v>
      </c>
      <c r="B699" s="8" t="s">
        <v>1050</v>
      </c>
      <c r="C699" s="35" t="s">
        <v>401</v>
      </c>
      <c r="D699" s="36" t="s">
        <v>31</v>
      </c>
      <c r="E699" s="37" t="s">
        <v>779</v>
      </c>
      <c r="F699" s="35" t="s">
        <v>322</v>
      </c>
      <c r="G699" s="7"/>
      <c r="H699" s="7"/>
      <c r="I699" s="12"/>
    </row>
    <row r="700" spans="1:9" ht="25.5" x14ac:dyDescent="0.2">
      <c r="A700" s="35" t="str">
        <f>HYPERLINK("https://mississippidhs.jamacloud.com/perspective.req?projectId=53&amp;docId=28626","LSRP-SHRQ-693")</f>
        <v>LSRP-SHRQ-693</v>
      </c>
      <c r="B700" s="8" t="s">
        <v>1051</v>
      </c>
      <c r="C700" s="35" t="s">
        <v>401</v>
      </c>
      <c r="D700" s="36" t="s">
        <v>31</v>
      </c>
      <c r="E700" s="37" t="s">
        <v>779</v>
      </c>
      <c r="F700" s="35" t="s">
        <v>322</v>
      </c>
      <c r="G700" s="7"/>
      <c r="H700" s="7"/>
      <c r="I700" s="12"/>
    </row>
    <row r="701" spans="1:9" ht="38.25" x14ac:dyDescent="0.2">
      <c r="A701" s="35" t="str">
        <f>HYPERLINK("https://mississippidhs.jamacloud.com/perspective.req?projectId=53&amp;docId=28627","LSRP-SHRQ-694")</f>
        <v>LSRP-SHRQ-694</v>
      </c>
      <c r="B701" s="8" t="s">
        <v>1052</v>
      </c>
      <c r="C701" s="35" t="s">
        <v>401</v>
      </c>
      <c r="D701" s="36" t="s">
        <v>31</v>
      </c>
      <c r="E701" s="37" t="s">
        <v>779</v>
      </c>
      <c r="F701" s="35" t="s">
        <v>322</v>
      </c>
      <c r="G701" s="7"/>
      <c r="H701" s="7"/>
      <c r="I701" s="12"/>
    </row>
    <row r="702" spans="1:9" ht="38.25" x14ac:dyDescent="0.2">
      <c r="A702" s="35" t="str">
        <f>HYPERLINK("https://mississippidhs.jamacloud.com/perspective.req?projectId=53&amp;docId=28628","LSRP-SHRQ-695")</f>
        <v>LSRP-SHRQ-695</v>
      </c>
      <c r="B702" s="8" t="s">
        <v>1053</v>
      </c>
      <c r="C702" s="35" t="s">
        <v>401</v>
      </c>
      <c r="D702" s="36" t="s">
        <v>31</v>
      </c>
      <c r="E702" s="37" t="s">
        <v>779</v>
      </c>
      <c r="F702" s="35" t="s">
        <v>322</v>
      </c>
      <c r="G702" s="7"/>
      <c r="H702" s="7"/>
      <c r="I702" s="12"/>
    </row>
    <row r="703" spans="1:9" ht="38.25" x14ac:dyDescent="0.2">
      <c r="A703" s="35" t="str">
        <f>HYPERLINK("https://mississippidhs.jamacloud.com/perspective.req?projectId=53&amp;docId=28629","LSRP-SHRQ-696")</f>
        <v>LSRP-SHRQ-696</v>
      </c>
      <c r="B703" s="8" t="s">
        <v>1054</v>
      </c>
      <c r="C703" s="35" t="s">
        <v>401</v>
      </c>
      <c r="D703" s="36" t="s">
        <v>31</v>
      </c>
      <c r="E703" s="37" t="s">
        <v>779</v>
      </c>
      <c r="F703" s="35" t="s">
        <v>322</v>
      </c>
      <c r="G703" s="7"/>
      <c r="H703" s="7"/>
      <c r="I703" s="12"/>
    </row>
    <row r="704" spans="1:9" ht="25.5" x14ac:dyDescent="0.2">
      <c r="A704" s="35" t="str">
        <f>HYPERLINK("https://mississippidhs.jamacloud.com/perspective.req?projectId=53&amp;docId=28630","LSRP-SHRQ-697")</f>
        <v>LSRP-SHRQ-697</v>
      </c>
      <c r="B704" s="8" t="s">
        <v>1055</v>
      </c>
      <c r="C704" s="35" t="s">
        <v>401</v>
      </c>
      <c r="D704" s="36" t="s">
        <v>31</v>
      </c>
      <c r="E704" s="37" t="s">
        <v>779</v>
      </c>
      <c r="F704" s="35" t="s">
        <v>322</v>
      </c>
      <c r="G704" s="7"/>
      <c r="H704" s="7"/>
      <c r="I704" s="12"/>
    </row>
    <row r="705" spans="1:9" ht="25.5" x14ac:dyDescent="0.2">
      <c r="A705" s="35" t="str">
        <f>HYPERLINK("https://mississippidhs.jamacloud.com/perspective.req?projectId=53&amp;docId=28631","LSRP-SHRQ-698")</f>
        <v>LSRP-SHRQ-698</v>
      </c>
      <c r="B705" s="8" t="s">
        <v>1056</v>
      </c>
      <c r="C705" s="35" t="s">
        <v>401</v>
      </c>
      <c r="D705" s="36" t="s">
        <v>31</v>
      </c>
      <c r="E705" s="37" t="s">
        <v>779</v>
      </c>
      <c r="F705" s="35" t="s">
        <v>1057</v>
      </c>
      <c r="G705" s="7"/>
      <c r="H705" s="7"/>
      <c r="I705" s="12"/>
    </row>
    <row r="706" spans="1:9" ht="25.5" x14ac:dyDescent="0.2">
      <c r="A706" s="35" t="str">
        <f>HYPERLINK("https://mississippidhs.jamacloud.com/perspective.req?projectId=53&amp;docId=28632","LSRP-SHRQ-699")</f>
        <v>LSRP-SHRQ-699</v>
      </c>
      <c r="B706" s="8" t="s">
        <v>1058</v>
      </c>
      <c r="C706" s="35" t="s">
        <v>401</v>
      </c>
      <c r="D706" s="36" t="s">
        <v>31</v>
      </c>
      <c r="E706" s="37" t="s">
        <v>779</v>
      </c>
      <c r="F706" s="35" t="s">
        <v>322</v>
      </c>
      <c r="G706" s="7"/>
      <c r="H706" s="7"/>
      <c r="I706" s="12"/>
    </row>
    <row r="707" spans="1:9" ht="25.5" x14ac:dyDescent="0.2">
      <c r="A707" s="35" t="str">
        <f>HYPERLINK("https://mississippidhs.jamacloud.com/perspective.req?projectId=53&amp;docId=28633","LSRP-SHRQ-700")</f>
        <v>LSRP-SHRQ-700</v>
      </c>
      <c r="B707" s="8" t="s">
        <v>1059</v>
      </c>
      <c r="C707" s="35" t="s">
        <v>401</v>
      </c>
      <c r="D707" s="36" t="s">
        <v>31</v>
      </c>
      <c r="E707" s="37" t="s">
        <v>779</v>
      </c>
      <c r="F707" s="35" t="s">
        <v>322</v>
      </c>
      <c r="G707" s="7"/>
      <c r="H707" s="7"/>
      <c r="I707" s="12"/>
    </row>
    <row r="708" spans="1:9" ht="25.5" x14ac:dyDescent="0.2">
      <c r="A708" s="35" t="str">
        <f>HYPERLINK("https://mississippidhs.jamacloud.com/perspective.req?projectId=53&amp;docId=28634","LSRP-SHRQ-701")</f>
        <v>LSRP-SHRQ-701</v>
      </c>
      <c r="B708" s="8" t="s">
        <v>1060</v>
      </c>
      <c r="C708" s="35" t="s">
        <v>401</v>
      </c>
      <c r="D708" s="36" t="s">
        <v>31</v>
      </c>
      <c r="E708" s="37" t="s">
        <v>779</v>
      </c>
      <c r="F708" s="35" t="s">
        <v>322</v>
      </c>
      <c r="G708" s="7"/>
      <c r="H708" s="7"/>
      <c r="I708" s="12"/>
    </row>
    <row r="709" spans="1:9" ht="25.5" x14ac:dyDescent="0.2">
      <c r="A709" s="35" t="str">
        <f>HYPERLINK("https://mississippidhs.jamacloud.com/perspective.req?projectId=53&amp;docId=28635","LSRP-SHRQ-702")</f>
        <v>LSRP-SHRQ-702</v>
      </c>
      <c r="B709" s="8" t="s">
        <v>1061</v>
      </c>
      <c r="C709" s="35" t="s">
        <v>401</v>
      </c>
      <c r="D709" s="36" t="s">
        <v>31</v>
      </c>
      <c r="E709" s="37" t="s">
        <v>779</v>
      </c>
      <c r="F709" s="35" t="s">
        <v>322</v>
      </c>
      <c r="G709" s="7"/>
      <c r="H709" s="7"/>
      <c r="I709" s="12"/>
    </row>
    <row r="710" spans="1:9" ht="25.5" x14ac:dyDescent="0.2">
      <c r="A710" s="35" t="str">
        <f>HYPERLINK("https://mississippidhs.jamacloud.com/perspective.req?projectId=53&amp;docId=28636","LSRP-SHRQ-703")</f>
        <v>LSRP-SHRQ-703</v>
      </c>
      <c r="B710" s="8" t="s">
        <v>1062</v>
      </c>
      <c r="C710" s="35" t="s">
        <v>401</v>
      </c>
      <c r="D710" s="36" t="s">
        <v>31</v>
      </c>
      <c r="E710" s="37" t="s">
        <v>779</v>
      </c>
      <c r="F710" s="35" t="s">
        <v>322</v>
      </c>
      <c r="G710" s="7"/>
      <c r="H710" s="7"/>
      <c r="I710" s="12"/>
    </row>
    <row r="711" spans="1:9" ht="25.5" x14ac:dyDescent="0.2">
      <c r="A711" s="35" t="str">
        <f>HYPERLINK("https://mississippidhs.jamacloud.com/perspective.req?projectId=53&amp;docId=28637","LSRP-SHRQ-704")</f>
        <v>LSRP-SHRQ-704</v>
      </c>
      <c r="B711" s="8" t="s">
        <v>1063</v>
      </c>
      <c r="C711" s="35" t="s">
        <v>401</v>
      </c>
      <c r="D711" s="36" t="s">
        <v>31</v>
      </c>
      <c r="E711" s="37" t="s">
        <v>779</v>
      </c>
      <c r="F711" s="35" t="s">
        <v>322</v>
      </c>
      <c r="G711" s="7"/>
      <c r="H711" s="7"/>
      <c r="I711" s="12"/>
    </row>
    <row r="712" spans="1:9" ht="51" x14ac:dyDescent="0.2">
      <c r="A712" s="35" t="str">
        <f>HYPERLINK("https://mississippidhs.jamacloud.com/perspective.req?projectId=53&amp;docId=28638","LSRP-SHRQ-705")</f>
        <v>LSRP-SHRQ-705</v>
      </c>
      <c r="B712" s="8" t="s">
        <v>1064</v>
      </c>
      <c r="C712" s="35" t="s">
        <v>401</v>
      </c>
      <c r="D712" s="36" t="s">
        <v>31</v>
      </c>
      <c r="E712" s="37" t="s">
        <v>779</v>
      </c>
      <c r="F712" s="35" t="s">
        <v>322</v>
      </c>
      <c r="G712" s="7"/>
      <c r="H712" s="7"/>
      <c r="I712" s="12"/>
    </row>
    <row r="713" spans="1:9" ht="38.25" x14ac:dyDescent="0.2">
      <c r="A713" s="35" t="str">
        <f>HYPERLINK("https://mississippidhs.jamacloud.com/perspective.req?projectId=53&amp;docId=28639","LSRP-SHRQ-706")</f>
        <v>LSRP-SHRQ-706</v>
      </c>
      <c r="B713" s="8" t="s">
        <v>1065</v>
      </c>
      <c r="C713" s="35" t="s">
        <v>401</v>
      </c>
      <c r="D713" s="36" t="s">
        <v>31</v>
      </c>
      <c r="E713" s="37" t="s">
        <v>779</v>
      </c>
      <c r="F713" s="35" t="s">
        <v>322</v>
      </c>
      <c r="G713" s="7"/>
      <c r="H713" s="7"/>
      <c r="I713" s="12"/>
    </row>
    <row r="714" spans="1:9" ht="38.25" x14ac:dyDescent="0.2">
      <c r="A714" s="35" t="str">
        <f>HYPERLINK("https://mississippidhs.jamacloud.com/perspective.req?projectId=53&amp;docId=28640","LSRP-SHRQ-707")</f>
        <v>LSRP-SHRQ-707</v>
      </c>
      <c r="B714" s="8" t="s">
        <v>1066</v>
      </c>
      <c r="C714" s="35" t="s">
        <v>401</v>
      </c>
      <c r="D714" s="36" t="s">
        <v>31</v>
      </c>
      <c r="E714" s="37" t="s">
        <v>779</v>
      </c>
      <c r="F714" s="35" t="s">
        <v>322</v>
      </c>
      <c r="G714" s="7"/>
      <c r="H714" s="7"/>
      <c r="I714" s="12"/>
    </row>
    <row r="715" spans="1:9" ht="14.25" x14ac:dyDescent="0.2">
      <c r="A715" s="35" t="str">
        <f>HYPERLINK("https://mississippidhs.jamacloud.com/perspective.req?projectId=53&amp;docId=28641","LSRP-SHRQ-708")</f>
        <v>LSRP-SHRQ-708</v>
      </c>
      <c r="B715" s="8" t="s">
        <v>1067</v>
      </c>
      <c r="C715" s="35" t="s">
        <v>401</v>
      </c>
      <c r="D715" s="36" t="s">
        <v>31</v>
      </c>
      <c r="E715" s="37" t="s">
        <v>779</v>
      </c>
      <c r="F715" s="35" t="s">
        <v>322</v>
      </c>
      <c r="G715" s="7"/>
      <c r="H715" s="7"/>
      <c r="I715" s="12"/>
    </row>
    <row r="716" spans="1:9" ht="14.25" x14ac:dyDescent="0.2">
      <c r="A716" s="35" t="str">
        <f>HYPERLINK("https://mississippidhs.jamacloud.com/perspective.req?projectId=53&amp;docId=28642","LSRP-SHRQ-709")</f>
        <v>LSRP-SHRQ-709</v>
      </c>
      <c r="B716" s="8" t="s">
        <v>1068</v>
      </c>
      <c r="C716" s="35" t="s">
        <v>401</v>
      </c>
      <c r="D716" s="36" t="s">
        <v>31</v>
      </c>
      <c r="E716" s="37" t="s">
        <v>779</v>
      </c>
      <c r="F716" s="35" t="s">
        <v>322</v>
      </c>
      <c r="G716" s="7"/>
      <c r="H716" s="7"/>
      <c r="I716" s="12"/>
    </row>
    <row r="717" spans="1:9" ht="25.5" x14ac:dyDescent="0.2">
      <c r="A717" s="35" t="str">
        <f>HYPERLINK("https://mississippidhs.jamacloud.com/perspective.req?projectId=53&amp;docId=28643","LSRP-SHRQ-710")</f>
        <v>LSRP-SHRQ-710</v>
      </c>
      <c r="B717" s="8" t="s">
        <v>1069</v>
      </c>
      <c r="C717" s="35" t="s">
        <v>401</v>
      </c>
      <c r="D717" s="36" t="s">
        <v>31</v>
      </c>
      <c r="E717" s="37" t="s">
        <v>779</v>
      </c>
      <c r="F717" s="35" t="s">
        <v>322</v>
      </c>
      <c r="G717" s="7"/>
      <c r="H717" s="7"/>
      <c r="I717" s="12"/>
    </row>
    <row r="718" spans="1:9" ht="25.5" x14ac:dyDescent="0.2">
      <c r="A718" s="35" t="str">
        <f>HYPERLINK("https://mississippidhs.jamacloud.com/perspective.req?projectId=53&amp;docId=28644","LSRP-SHRQ-711")</f>
        <v>LSRP-SHRQ-711</v>
      </c>
      <c r="B718" s="8" t="s">
        <v>1070</v>
      </c>
      <c r="C718" s="35" t="s">
        <v>401</v>
      </c>
      <c r="D718" s="36" t="s">
        <v>31</v>
      </c>
      <c r="E718" s="37" t="s">
        <v>779</v>
      </c>
      <c r="F718" s="35" t="s">
        <v>322</v>
      </c>
      <c r="G718" s="7"/>
      <c r="H718" s="7"/>
      <c r="I718" s="12"/>
    </row>
    <row r="719" spans="1:9" ht="38.25" x14ac:dyDescent="0.2">
      <c r="A719" s="35" t="str">
        <f>HYPERLINK("https://mississippidhs.jamacloud.com/perspective.req?projectId=53&amp;docId=28645","LSRP-SHRQ-712")</f>
        <v>LSRP-SHRQ-712</v>
      </c>
      <c r="B719" s="8" t="s">
        <v>1071</v>
      </c>
      <c r="C719" s="35" t="s">
        <v>401</v>
      </c>
      <c r="D719" s="36" t="s">
        <v>31</v>
      </c>
      <c r="E719" s="37" t="s">
        <v>779</v>
      </c>
      <c r="F719" s="35" t="s">
        <v>322</v>
      </c>
      <c r="G719" s="7"/>
      <c r="H719" s="7"/>
      <c r="I719" s="12"/>
    </row>
    <row r="720" spans="1:9" ht="25.5" x14ac:dyDescent="0.2">
      <c r="A720" s="35" t="str">
        <f>HYPERLINK("https://mississippidhs.jamacloud.com/perspective.req?projectId=53&amp;docId=28646","LSRP-SHRQ-713")</f>
        <v>LSRP-SHRQ-713</v>
      </c>
      <c r="B720" s="8" t="s">
        <v>1072</v>
      </c>
      <c r="C720" s="35" t="s">
        <v>401</v>
      </c>
      <c r="D720" s="36" t="s">
        <v>31</v>
      </c>
      <c r="E720" s="37" t="s">
        <v>779</v>
      </c>
      <c r="F720" s="35" t="s">
        <v>322</v>
      </c>
      <c r="G720" s="7"/>
      <c r="H720" s="7"/>
      <c r="I720" s="12"/>
    </row>
    <row r="721" spans="1:9" ht="25.5" x14ac:dyDescent="0.2">
      <c r="A721" s="35" t="str">
        <f>HYPERLINK("https://mississippidhs.jamacloud.com/perspective.req?projectId=53&amp;docId=28647","LSRP-SHRQ-714")</f>
        <v>LSRP-SHRQ-714</v>
      </c>
      <c r="B721" s="8" t="s">
        <v>1073</v>
      </c>
      <c r="C721" s="35" t="s">
        <v>401</v>
      </c>
      <c r="D721" s="36" t="s">
        <v>31</v>
      </c>
      <c r="E721" s="37" t="s">
        <v>779</v>
      </c>
      <c r="F721" s="35" t="s">
        <v>322</v>
      </c>
      <c r="G721" s="7"/>
      <c r="H721" s="7"/>
      <c r="I721" s="12"/>
    </row>
    <row r="722" spans="1:9" ht="38.25" x14ac:dyDescent="0.2">
      <c r="A722" s="35" t="str">
        <f>HYPERLINK("https://mississippidhs.jamacloud.com/perspective.req?projectId=53&amp;docId=28648","LSRP-SHRQ-715")</f>
        <v>LSRP-SHRQ-715</v>
      </c>
      <c r="B722" s="8" t="s">
        <v>1074</v>
      </c>
      <c r="C722" s="35" t="s">
        <v>401</v>
      </c>
      <c r="D722" s="36" t="s">
        <v>31</v>
      </c>
      <c r="E722" s="37" t="s">
        <v>779</v>
      </c>
      <c r="F722" s="35" t="s">
        <v>322</v>
      </c>
      <c r="G722" s="7"/>
      <c r="H722" s="7"/>
      <c r="I722" s="12"/>
    </row>
    <row r="723" spans="1:9" ht="25.5" x14ac:dyDescent="0.2">
      <c r="A723" s="35" t="str">
        <f>HYPERLINK("https://mississippidhs.jamacloud.com/perspective.req?projectId=53&amp;docId=28649","LSRP-SHRQ-716")</f>
        <v>LSRP-SHRQ-716</v>
      </c>
      <c r="B723" s="8" t="s">
        <v>1075</v>
      </c>
      <c r="C723" s="35" t="s">
        <v>401</v>
      </c>
      <c r="D723" s="36" t="s">
        <v>31</v>
      </c>
      <c r="E723" s="37" t="s">
        <v>779</v>
      </c>
      <c r="F723" s="35" t="s">
        <v>322</v>
      </c>
      <c r="G723" s="7"/>
      <c r="H723" s="7"/>
      <c r="I723" s="12"/>
    </row>
    <row r="724" spans="1:9" ht="25.5" x14ac:dyDescent="0.2">
      <c r="A724" s="35" t="str">
        <f>HYPERLINK("https://mississippidhs.jamacloud.com/perspective.req?projectId=53&amp;docId=28650","LSRP-SHRQ-717")</f>
        <v>LSRP-SHRQ-717</v>
      </c>
      <c r="B724" s="8" t="s">
        <v>1076</v>
      </c>
      <c r="C724" s="35" t="s">
        <v>401</v>
      </c>
      <c r="D724" s="36" t="s">
        <v>31</v>
      </c>
      <c r="E724" s="37" t="s">
        <v>779</v>
      </c>
      <c r="F724" s="35" t="s">
        <v>322</v>
      </c>
      <c r="G724" s="7"/>
      <c r="H724" s="7"/>
      <c r="I724" s="12"/>
    </row>
    <row r="725" spans="1:9" ht="25.5" x14ac:dyDescent="0.2">
      <c r="A725" s="35" t="str">
        <f>HYPERLINK("https://mississippidhs.jamacloud.com/perspective.req?projectId=53&amp;docId=28651","LSRP-SHRQ-718")</f>
        <v>LSRP-SHRQ-718</v>
      </c>
      <c r="B725" s="8" t="s">
        <v>1077</v>
      </c>
      <c r="C725" s="35" t="s">
        <v>401</v>
      </c>
      <c r="D725" s="36" t="s">
        <v>31</v>
      </c>
      <c r="E725" s="37" t="s">
        <v>779</v>
      </c>
      <c r="F725" s="35" t="s">
        <v>322</v>
      </c>
      <c r="G725" s="7"/>
      <c r="H725" s="7"/>
      <c r="I725" s="12"/>
    </row>
    <row r="726" spans="1:9" ht="14.25" x14ac:dyDescent="0.2">
      <c r="A726" s="35" t="str">
        <f>HYPERLINK("https://mississippidhs.jamacloud.com/perspective.req?projectId=53&amp;docId=28652","LSRP-SHRQ-719")</f>
        <v>LSRP-SHRQ-719</v>
      </c>
      <c r="B726" s="8" t="s">
        <v>1078</v>
      </c>
      <c r="C726" s="35" t="s">
        <v>401</v>
      </c>
      <c r="D726" s="36" t="s">
        <v>31</v>
      </c>
      <c r="E726" s="37" t="s">
        <v>779</v>
      </c>
      <c r="F726" s="35" t="s">
        <v>322</v>
      </c>
      <c r="G726" s="7"/>
      <c r="H726" s="7"/>
      <c r="I726" s="12"/>
    </row>
    <row r="727" spans="1:9" ht="51" x14ac:dyDescent="0.2">
      <c r="A727" s="35" t="str">
        <f>HYPERLINK("https://mississippidhs.jamacloud.com/perspective.req?projectId=53&amp;docId=28653","LSRP-SHRQ-720")</f>
        <v>LSRP-SHRQ-720</v>
      </c>
      <c r="B727" s="8" t="s">
        <v>1079</v>
      </c>
      <c r="C727" s="35" t="s">
        <v>401</v>
      </c>
      <c r="D727" s="36" t="s">
        <v>31</v>
      </c>
      <c r="E727" s="37" t="s">
        <v>779</v>
      </c>
      <c r="F727" s="35" t="s">
        <v>322</v>
      </c>
      <c r="G727" s="7"/>
      <c r="H727" s="7"/>
      <c r="I727" s="12"/>
    </row>
    <row r="728" spans="1:9" ht="38.25" x14ac:dyDescent="0.2">
      <c r="A728" s="35" t="str">
        <f>HYPERLINK("https://mississippidhs.jamacloud.com/perspective.req?projectId=53&amp;docId=28654","LSRP-SHRQ-721")</f>
        <v>LSRP-SHRQ-721</v>
      </c>
      <c r="B728" s="8" t="s">
        <v>1080</v>
      </c>
      <c r="C728" s="35" t="s">
        <v>401</v>
      </c>
      <c r="D728" s="36" t="s">
        <v>31</v>
      </c>
      <c r="E728" s="37" t="s">
        <v>779</v>
      </c>
      <c r="F728" s="35" t="s">
        <v>322</v>
      </c>
      <c r="G728" s="7"/>
      <c r="H728" s="7"/>
      <c r="I728" s="12"/>
    </row>
    <row r="729" spans="1:9" ht="51" x14ac:dyDescent="0.2">
      <c r="A729" s="35" t="str">
        <f>HYPERLINK("https://mississippidhs.jamacloud.com/perspective.req?projectId=53&amp;docId=28655","LSRP-SHRQ-722")</f>
        <v>LSRP-SHRQ-722</v>
      </c>
      <c r="B729" s="8" t="s">
        <v>1081</v>
      </c>
      <c r="C729" s="35" t="s">
        <v>401</v>
      </c>
      <c r="D729" s="36" t="s">
        <v>31</v>
      </c>
      <c r="E729" s="37" t="s">
        <v>779</v>
      </c>
      <c r="F729" s="35" t="s">
        <v>322</v>
      </c>
      <c r="G729" s="7"/>
      <c r="H729" s="7"/>
      <c r="I729" s="12"/>
    </row>
    <row r="730" spans="1:9" ht="38.25" x14ac:dyDescent="0.2">
      <c r="A730" s="35" t="str">
        <f>HYPERLINK("https://mississippidhs.jamacloud.com/perspective.req?projectId=53&amp;docId=28656","LSRP-SHRQ-723")</f>
        <v>LSRP-SHRQ-723</v>
      </c>
      <c r="B730" s="8" t="s">
        <v>1082</v>
      </c>
      <c r="C730" s="35" t="s">
        <v>401</v>
      </c>
      <c r="D730" s="36" t="s">
        <v>31</v>
      </c>
      <c r="E730" s="37" t="s">
        <v>779</v>
      </c>
      <c r="F730" s="35" t="s">
        <v>322</v>
      </c>
      <c r="G730" s="7"/>
      <c r="H730" s="7"/>
      <c r="I730" s="12"/>
    </row>
    <row r="731" spans="1:9" ht="38.25" x14ac:dyDescent="0.2">
      <c r="A731" s="35" t="str">
        <f>HYPERLINK("https://mississippidhs.jamacloud.com/perspective.req?projectId=53&amp;docId=28657","LSRP-SHRQ-724")</f>
        <v>LSRP-SHRQ-724</v>
      </c>
      <c r="B731" s="8" t="s">
        <v>1083</v>
      </c>
      <c r="C731" s="35" t="s">
        <v>401</v>
      </c>
      <c r="D731" s="36" t="s">
        <v>31</v>
      </c>
      <c r="E731" s="37" t="s">
        <v>779</v>
      </c>
      <c r="F731" s="35" t="s">
        <v>322</v>
      </c>
      <c r="G731" s="7"/>
      <c r="H731" s="7"/>
      <c r="I731" s="12"/>
    </row>
    <row r="732" spans="1:9" ht="25.5" x14ac:dyDescent="0.2">
      <c r="A732" s="35" t="str">
        <f>HYPERLINK("https://mississippidhs.jamacloud.com/perspective.req?projectId=53&amp;docId=28658","LSRP-SHRQ-725")</f>
        <v>LSRP-SHRQ-725</v>
      </c>
      <c r="B732" s="8" t="s">
        <v>1084</v>
      </c>
      <c r="C732" s="35" t="s">
        <v>401</v>
      </c>
      <c r="D732" s="36" t="s">
        <v>31</v>
      </c>
      <c r="E732" s="37" t="s">
        <v>779</v>
      </c>
      <c r="F732" s="35" t="s">
        <v>322</v>
      </c>
      <c r="G732" s="7"/>
      <c r="H732" s="7"/>
      <c r="I732" s="12"/>
    </row>
    <row r="733" spans="1:9" ht="38.25" x14ac:dyDescent="0.2">
      <c r="A733" s="35" t="str">
        <f>HYPERLINK("https://mississippidhs.jamacloud.com/perspective.req?projectId=53&amp;docId=28659","LSRP-SHRQ-726")</f>
        <v>LSRP-SHRQ-726</v>
      </c>
      <c r="B733" s="8" t="s">
        <v>1085</v>
      </c>
      <c r="C733" s="35" t="s">
        <v>401</v>
      </c>
      <c r="D733" s="36" t="s">
        <v>31</v>
      </c>
      <c r="E733" s="37" t="s">
        <v>779</v>
      </c>
      <c r="F733" s="35" t="s">
        <v>322</v>
      </c>
      <c r="G733" s="7"/>
      <c r="H733" s="7"/>
      <c r="I733" s="12"/>
    </row>
    <row r="734" spans="1:9" ht="25.5" x14ac:dyDescent="0.2">
      <c r="A734" s="35" t="str">
        <f>HYPERLINK("https://mississippidhs.jamacloud.com/perspective.req?projectId=53&amp;docId=28660","LSRP-SHRQ-727")</f>
        <v>LSRP-SHRQ-727</v>
      </c>
      <c r="B734" s="8" t="s">
        <v>1086</v>
      </c>
      <c r="C734" s="35" t="s">
        <v>401</v>
      </c>
      <c r="D734" s="36" t="s">
        <v>31</v>
      </c>
      <c r="E734" s="37" t="s">
        <v>779</v>
      </c>
      <c r="F734" s="35" t="s">
        <v>322</v>
      </c>
      <c r="G734" s="7"/>
      <c r="H734" s="7"/>
      <c r="I734" s="12"/>
    </row>
    <row r="735" spans="1:9" ht="38.25" x14ac:dyDescent="0.2">
      <c r="A735" s="35" t="str">
        <f>HYPERLINK("https://mississippidhs.jamacloud.com/perspective.req?projectId=53&amp;docId=28661","LSRP-SHRQ-728")</f>
        <v>LSRP-SHRQ-728</v>
      </c>
      <c r="B735" s="8" t="s">
        <v>1087</v>
      </c>
      <c r="C735" s="35" t="s">
        <v>401</v>
      </c>
      <c r="D735" s="36" t="s">
        <v>31</v>
      </c>
      <c r="E735" s="37" t="s">
        <v>779</v>
      </c>
      <c r="F735" s="35" t="s">
        <v>322</v>
      </c>
      <c r="G735" s="7"/>
      <c r="H735" s="7"/>
      <c r="I735" s="12"/>
    </row>
    <row r="736" spans="1:9" ht="51" x14ac:dyDescent="0.2">
      <c r="A736" s="35" t="str">
        <f>HYPERLINK("https://mississippidhs.jamacloud.com/perspective.req?projectId=53&amp;docId=28662","LSRP-SHRQ-729")</f>
        <v>LSRP-SHRQ-729</v>
      </c>
      <c r="B736" s="8" t="s">
        <v>1088</v>
      </c>
      <c r="C736" s="35" t="s">
        <v>401</v>
      </c>
      <c r="D736" s="36" t="s">
        <v>31</v>
      </c>
      <c r="E736" s="37" t="s">
        <v>779</v>
      </c>
      <c r="F736" s="35" t="s">
        <v>322</v>
      </c>
      <c r="G736" s="7"/>
      <c r="H736" s="7"/>
      <c r="I736" s="12"/>
    </row>
    <row r="737" spans="1:9" ht="38.25" x14ac:dyDescent="0.2">
      <c r="A737" s="35" t="str">
        <f>HYPERLINK("https://mississippidhs.jamacloud.com/perspective.req?projectId=53&amp;docId=28663","LSRP-SHRQ-730")</f>
        <v>LSRP-SHRQ-730</v>
      </c>
      <c r="B737" s="8" t="s">
        <v>1089</v>
      </c>
      <c r="C737" s="35" t="s">
        <v>401</v>
      </c>
      <c r="D737" s="36" t="s">
        <v>31</v>
      </c>
      <c r="E737" s="37" t="s">
        <v>779</v>
      </c>
      <c r="F737" s="35" t="s">
        <v>322</v>
      </c>
      <c r="G737" s="7"/>
      <c r="H737" s="7"/>
      <c r="I737" s="12"/>
    </row>
    <row r="738" spans="1:9" ht="63.75" x14ac:dyDescent="0.2">
      <c r="A738" s="35" t="str">
        <f>HYPERLINK("https://mississippidhs.jamacloud.com/perspective.req?projectId=53&amp;docId=28664","LSRP-SHRQ-731")</f>
        <v>LSRP-SHRQ-731</v>
      </c>
      <c r="B738" s="8" t="s">
        <v>1090</v>
      </c>
      <c r="C738" s="35" t="s">
        <v>319</v>
      </c>
      <c r="D738" s="36" t="s">
        <v>31</v>
      </c>
      <c r="E738" s="37" t="s">
        <v>779</v>
      </c>
      <c r="F738" s="35" t="s">
        <v>322</v>
      </c>
      <c r="G738" s="7"/>
      <c r="H738" s="7"/>
      <c r="I738" s="12"/>
    </row>
    <row r="739" spans="1:9" ht="51" x14ac:dyDescent="0.2">
      <c r="A739" s="35" t="str">
        <f>HYPERLINK("https://mississippidhs.jamacloud.com/perspective.req?projectId=53&amp;docId=28665","LSRP-SHRQ-732")</f>
        <v>LSRP-SHRQ-732</v>
      </c>
      <c r="B739" s="8" t="s">
        <v>1091</v>
      </c>
      <c r="C739" s="35" t="s">
        <v>401</v>
      </c>
      <c r="D739" s="36" t="s">
        <v>31</v>
      </c>
      <c r="E739" s="37" t="s">
        <v>779</v>
      </c>
      <c r="F739" s="35" t="s">
        <v>322</v>
      </c>
      <c r="G739" s="7"/>
      <c r="H739" s="7"/>
      <c r="I739" s="12"/>
    </row>
    <row r="740" spans="1:9" ht="25.5" x14ac:dyDescent="0.2">
      <c r="A740" s="35" t="str">
        <f>HYPERLINK("https://mississippidhs.jamacloud.com/perspective.req?projectId=53&amp;docId=28666","LSRP-SHRQ-733")</f>
        <v>LSRP-SHRQ-733</v>
      </c>
      <c r="B740" s="8" t="s">
        <v>1092</v>
      </c>
      <c r="C740" s="35" t="s">
        <v>401</v>
      </c>
      <c r="D740" s="36" t="s">
        <v>31</v>
      </c>
      <c r="E740" s="37" t="s">
        <v>779</v>
      </c>
      <c r="F740" s="35" t="s">
        <v>322</v>
      </c>
      <c r="G740" s="7"/>
      <c r="H740" s="7"/>
      <c r="I740" s="12"/>
    </row>
    <row r="741" spans="1:9" ht="25.5" x14ac:dyDescent="0.2">
      <c r="A741" s="35" t="str">
        <f>HYPERLINK("https://mississippidhs.jamacloud.com/perspective.req?projectId=53&amp;docId=28667","LSRP-SHRQ-734")</f>
        <v>LSRP-SHRQ-734</v>
      </c>
      <c r="B741" s="8" t="s">
        <v>1093</v>
      </c>
      <c r="C741" s="35" t="s">
        <v>401</v>
      </c>
      <c r="D741" s="36" t="s">
        <v>31</v>
      </c>
      <c r="E741" s="37" t="s">
        <v>779</v>
      </c>
      <c r="F741" s="35" t="s">
        <v>322</v>
      </c>
      <c r="G741" s="7"/>
      <c r="H741" s="7"/>
      <c r="I741" s="12"/>
    </row>
    <row r="742" spans="1:9" ht="14.25" x14ac:dyDescent="0.2">
      <c r="A742" s="35" t="str">
        <f>HYPERLINK("https://mississippidhs.jamacloud.com/perspective.req?projectId=53&amp;docId=28668","LSRP-SHRQ-735")</f>
        <v>LSRP-SHRQ-735</v>
      </c>
      <c r="B742" s="8" t="s">
        <v>1094</v>
      </c>
      <c r="C742" s="35" t="s">
        <v>401</v>
      </c>
      <c r="D742" s="36" t="s">
        <v>31</v>
      </c>
      <c r="E742" s="37" t="s">
        <v>779</v>
      </c>
      <c r="F742" s="35" t="s">
        <v>322</v>
      </c>
      <c r="G742" s="7"/>
      <c r="H742" s="7"/>
      <c r="I742" s="12"/>
    </row>
    <row r="743" spans="1:9" ht="25.5" x14ac:dyDescent="0.2">
      <c r="A743" s="35" t="str">
        <f>HYPERLINK("https://mississippidhs.jamacloud.com/perspective.req?projectId=53&amp;docId=28669","LSRP-SHRQ-736")</f>
        <v>LSRP-SHRQ-736</v>
      </c>
      <c r="B743" s="8" t="s">
        <v>1095</v>
      </c>
      <c r="C743" s="35" t="s">
        <v>401</v>
      </c>
      <c r="D743" s="36" t="s">
        <v>31</v>
      </c>
      <c r="E743" s="37" t="s">
        <v>779</v>
      </c>
      <c r="F743" s="35" t="s">
        <v>322</v>
      </c>
      <c r="G743" s="7"/>
      <c r="H743" s="7"/>
      <c r="I743" s="12"/>
    </row>
    <row r="744" spans="1:9" ht="38.25" x14ac:dyDescent="0.2">
      <c r="A744" s="35" t="str">
        <f>HYPERLINK("https://mississippidhs.jamacloud.com/perspective.req?projectId=53&amp;docId=28670","LSRP-SHRQ-737")</f>
        <v>LSRP-SHRQ-737</v>
      </c>
      <c r="B744" s="8" t="s">
        <v>1096</v>
      </c>
      <c r="C744" s="35" t="s">
        <v>401</v>
      </c>
      <c r="D744" s="36" t="s">
        <v>31</v>
      </c>
      <c r="E744" s="37" t="s">
        <v>779</v>
      </c>
      <c r="F744" s="35" t="s">
        <v>322</v>
      </c>
      <c r="G744" s="7"/>
      <c r="H744" s="7"/>
      <c r="I744" s="12"/>
    </row>
    <row r="745" spans="1:9" ht="25.5" x14ac:dyDescent="0.2">
      <c r="A745" s="35" t="str">
        <f>HYPERLINK("https://mississippidhs.jamacloud.com/perspective.req?projectId=53&amp;docId=28671","LSRP-SHRQ-738")</f>
        <v>LSRP-SHRQ-738</v>
      </c>
      <c r="B745" s="8" t="s">
        <v>1097</v>
      </c>
      <c r="C745" s="35" t="s">
        <v>401</v>
      </c>
      <c r="D745" s="36" t="s">
        <v>31</v>
      </c>
      <c r="E745" s="37" t="s">
        <v>779</v>
      </c>
      <c r="F745" s="35" t="s">
        <v>906</v>
      </c>
      <c r="G745" s="7"/>
      <c r="H745" s="7"/>
      <c r="I745" s="12"/>
    </row>
    <row r="746" spans="1:9" ht="38.25" x14ac:dyDescent="0.2">
      <c r="A746" s="35" t="str">
        <f>HYPERLINK("https://mississippidhs.jamacloud.com/perspective.req?projectId=53&amp;docId=28672","LSRP-SHRQ-739")</f>
        <v>LSRP-SHRQ-739</v>
      </c>
      <c r="B746" s="8" t="s">
        <v>1098</v>
      </c>
      <c r="C746" s="35" t="s">
        <v>401</v>
      </c>
      <c r="D746" s="36" t="s">
        <v>31</v>
      </c>
      <c r="E746" s="37" t="s">
        <v>779</v>
      </c>
      <c r="F746" s="35" t="s">
        <v>322</v>
      </c>
      <c r="G746" s="7"/>
      <c r="H746" s="7"/>
      <c r="I746" s="12"/>
    </row>
    <row r="747" spans="1:9" ht="51" x14ac:dyDescent="0.2">
      <c r="A747" s="35" t="str">
        <f>HYPERLINK("https://mississippidhs.jamacloud.com/perspective.req?projectId=53&amp;docId=28673","LSRP-SHRQ-740")</f>
        <v>LSRP-SHRQ-740</v>
      </c>
      <c r="B747" s="8" t="s">
        <v>1099</v>
      </c>
      <c r="C747" s="35" t="s">
        <v>401</v>
      </c>
      <c r="D747" s="36" t="s">
        <v>31</v>
      </c>
      <c r="E747" s="37" t="s">
        <v>779</v>
      </c>
      <c r="F747" s="35" t="s">
        <v>322</v>
      </c>
      <c r="G747" s="7"/>
      <c r="H747" s="7"/>
      <c r="I747" s="12"/>
    </row>
    <row r="748" spans="1:9" ht="25.5" x14ac:dyDescent="0.2">
      <c r="A748" s="35" t="str">
        <f>HYPERLINK("https://mississippidhs.jamacloud.com/perspective.req?projectId=53&amp;docId=28674","LSRP-SHRQ-741")</f>
        <v>LSRP-SHRQ-741</v>
      </c>
      <c r="B748" s="8" t="s">
        <v>1100</v>
      </c>
      <c r="C748" s="35" t="s">
        <v>401</v>
      </c>
      <c r="D748" s="36" t="s">
        <v>31</v>
      </c>
      <c r="E748" s="37" t="s">
        <v>779</v>
      </c>
      <c r="F748" s="35" t="s">
        <v>898</v>
      </c>
      <c r="G748" s="7"/>
      <c r="H748" s="7"/>
      <c r="I748" s="12"/>
    </row>
    <row r="749" spans="1:9" ht="38.25" x14ac:dyDescent="0.2">
      <c r="A749" s="35" t="str">
        <f>HYPERLINK("https://mississippidhs.jamacloud.com/perspective.req?projectId=53&amp;docId=28675","LSRP-SHRQ-742")</f>
        <v>LSRP-SHRQ-742</v>
      </c>
      <c r="B749" s="8" t="s">
        <v>1101</v>
      </c>
      <c r="C749" s="35" t="s">
        <v>401</v>
      </c>
      <c r="D749" s="36" t="s">
        <v>31</v>
      </c>
      <c r="E749" s="37" t="s">
        <v>779</v>
      </c>
      <c r="F749" s="35" t="s">
        <v>898</v>
      </c>
      <c r="G749" s="7"/>
      <c r="H749" s="7"/>
      <c r="I749" s="12"/>
    </row>
    <row r="750" spans="1:9" ht="25.5" x14ac:dyDescent="0.2">
      <c r="A750" s="35" t="str">
        <f>HYPERLINK("https://mississippidhs.jamacloud.com/perspective.req?projectId=53&amp;docId=28676","LSRP-SHRQ-743")</f>
        <v>LSRP-SHRQ-743</v>
      </c>
      <c r="B750" s="8" t="s">
        <v>1102</v>
      </c>
      <c r="C750" s="35" t="s">
        <v>401</v>
      </c>
      <c r="D750" s="36" t="s">
        <v>31</v>
      </c>
      <c r="E750" s="37" t="s">
        <v>779</v>
      </c>
      <c r="F750" s="35" t="s">
        <v>411</v>
      </c>
      <c r="G750" s="7"/>
      <c r="H750" s="7"/>
      <c r="I750" s="12"/>
    </row>
    <row r="751" spans="1:9" ht="38.25" x14ac:dyDescent="0.2">
      <c r="A751" s="35" t="str">
        <f>HYPERLINK("https://mississippidhs.jamacloud.com/perspective.req?projectId=53&amp;docId=28677","LSRP-SHRQ-744")</f>
        <v>LSRP-SHRQ-744</v>
      </c>
      <c r="B751" s="8" t="s">
        <v>1103</v>
      </c>
      <c r="C751" s="35" t="s">
        <v>401</v>
      </c>
      <c r="D751" s="36" t="s">
        <v>31</v>
      </c>
      <c r="E751" s="37" t="s">
        <v>779</v>
      </c>
      <c r="F751" s="35" t="s">
        <v>898</v>
      </c>
      <c r="G751" s="7"/>
      <c r="H751" s="7"/>
      <c r="I751" s="12"/>
    </row>
    <row r="752" spans="1:9" ht="38.25" x14ac:dyDescent="0.2">
      <c r="A752" s="35" t="str">
        <f>HYPERLINK("https://mississippidhs.jamacloud.com/perspective.req?projectId=53&amp;docId=28678","LSRP-SHRQ-745")</f>
        <v>LSRP-SHRQ-745</v>
      </c>
      <c r="B752" s="8" t="s">
        <v>1104</v>
      </c>
      <c r="C752" s="35" t="s">
        <v>401</v>
      </c>
      <c r="D752" s="36" t="s">
        <v>31</v>
      </c>
      <c r="E752" s="37" t="s">
        <v>779</v>
      </c>
      <c r="F752" s="35" t="s">
        <v>898</v>
      </c>
      <c r="G752" s="7"/>
      <c r="H752" s="7"/>
      <c r="I752" s="12"/>
    </row>
    <row r="753" spans="1:9" ht="38.25" x14ac:dyDescent="0.2">
      <c r="A753" s="35" t="str">
        <f>HYPERLINK("https://mississippidhs.jamacloud.com/perspective.req?projectId=53&amp;docId=28679","LSRP-SHRQ-746")</f>
        <v>LSRP-SHRQ-746</v>
      </c>
      <c r="B753" s="8" t="s">
        <v>1105</v>
      </c>
      <c r="C753" s="35" t="s">
        <v>401</v>
      </c>
      <c r="D753" s="36" t="s">
        <v>31</v>
      </c>
      <c r="E753" s="37" t="s">
        <v>779</v>
      </c>
      <c r="F753" s="35" t="s">
        <v>898</v>
      </c>
      <c r="G753" s="7"/>
      <c r="H753" s="7"/>
      <c r="I753" s="12"/>
    </row>
    <row r="754" spans="1:9" ht="25.5" x14ac:dyDescent="0.2">
      <c r="A754" s="35" t="str">
        <f>HYPERLINK("https://mississippidhs.jamacloud.com/perspective.req?projectId=53&amp;docId=28680","LSRP-SHRQ-747")</f>
        <v>LSRP-SHRQ-747</v>
      </c>
      <c r="B754" s="8" t="s">
        <v>1106</v>
      </c>
      <c r="C754" s="35" t="s">
        <v>401</v>
      </c>
      <c r="D754" s="36" t="s">
        <v>31</v>
      </c>
      <c r="E754" s="37" t="s">
        <v>779</v>
      </c>
      <c r="F754" s="35" t="s">
        <v>582</v>
      </c>
      <c r="G754" s="7"/>
      <c r="H754" s="7"/>
      <c r="I754" s="12"/>
    </row>
    <row r="755" spans="1:9" ht="25.5" x14ac:dyDescent="0.2">
      <c r="A755" s="35" t="str">
        <f>HYPERLINK("https://mississippidhs.jamacloud.com/perspective.req?projectId=53&amp;docId=28681","LSRP-SHRQ-748")</f>
        <v>LSRP-SHRQ-748</v>
      </c>
      <c r="B755" s="8" t="s">
        <v>1107</v>
      </c>
      <c r="C755" s="35" t="s">
        <v>401</v>
      </c>
      <c r="D755" s="36" t="s">
        <v>31</v>
      </c>
      <c r="E755" s="37" t="s">
        <v>779</v>
      </c>
      <c r="F755" s="35" t="s">
        <v>582</v>
      </c>
      <c r="G755" s="7"/>
      <c r="H755" s="7"/>
      <c r="I755" s="12"/>
    </row>
    <row r="756" spans="1:9" ht="25.5" x14ac:dyDescent="0.2">
      <c r="A756" s="35" t="str">
        <f>HYPERLINK("https://mississippidhs.jamacloud.com/perspective.req?projectId=53&amp;docId=28682","LSRP-SHRQ-749")</f>
        <v>LSRP-SHRQ-749</v>
      </c>
      <c r="B756" s="8" t="s">
        <v>1108</v>
      </c>
      <c r="C756" s="35" t="s">
        <v>401</v>
      </c>
      <c r="D756" s="36" t="s">
        <v>31</v>
      </c>
      <c r="E756" s="37" t="s">
        <v>779</v>
      </c>
      <c r="F756" s="35" t="s">
        <v>322</v>
      </c>
      <c r="G756" s="7"/>
      <c r="H756" s="7"/>
      <c r="I756" s="12"/>
    </row>
    <row r="757" spans="1:9" ht="25.5" x14ac:dyDescent="0.2">
      <c r="A757" s="35" t="str">
        <f>HYPERLINK("https://mississippidhs.jamacloud.com/perspective.req?projectId=53&amp;docId=28683","LSRP-SHRQ-750")</f>
        <v>LSRP-SHRQ-750</v>
      </c>
      <c r="B757" s="8" t="s">
        <v>1109</v>
      </c>
      <c r="C757" s="35" t="s">
        <v>401</v>
      </c>
      <c r="D757" s="36" t="s">
        <v>31</v>
      </c>
      <c r="E757" s="37" t="s">
        <v>779</v>
      </c>
      <c r="F757" s="35" t="s">
        <v>322</v>
      </c>
      <c r="G757" s="7"/>
      <c r="H757" s="7"/>
      <c r="I757" s="12"/>
    </row>
    <row r="758" spans="1:9" ht="38.25" x14ac:dyDescent="0.2">
      <c r="A758" s="35" t="str">
        <f>HYPERLINK("https://mississippidhs.jamacloud.com/perspective.req?projectId=53&amp;docId=28684","LSRP-SHRQ-751")</f>
        <v>LSRP-SHRQ-751</v>
      </c>
      <c r="B758" s="8" t="s">
        <v>1110</v>
      </c>
      <c r="C758" s="35" t="s">
        <v>401</v>
      </c>
      <c r="D758" s="36" t="s">
        <v>31</v>
      </c>
      <c r="E758" s="37" t="s">
        <v>779</v>
      </c>
      <c r="F758" s="35" t="s">
        <v>322</v>
      </c>
      <c r="G758" s="7"/>
      <c r="H758" s="7"/>
      <c r="I758" s="12"/>
    </row>
    <row r="759" spans="1:9" ht="38.25" x14ac:dyDescent="0.2">
      <c r="A759" s="35" t="str">
        <f>HYPERLINK("https://mississippidhs.jamacloud.com/perspective.req?projectId=53&amp;docId=28685","LSRP-SHRQ-752")</f>
        <v>LSRP-SHRQ-752</v>
      </c>
      <c r="B759" s="8" t="s">
        <v>1111</v>
      </c>
      <c r="C759" s="35" t="s">
        <v>401</v>
      </c>
      <c r="D759" s="36" t="s">
        <v>31</v>
      </c>
      <c r="E759" s="37" t="s">
        <v>779</v>
      </c>
      <c r="F759" s="35" t="s">
        <v>322</v>
      </c>
      <c r="G759" s="7"/>
      <c r="H759" s="7"/>
      <c r="I759" s="12"/>
    </row>
    <row r="760" spans="1:9" ht="51" x14ac:dyDescent="0.2">
      <c r="A760" s="35" t="str">
        <f>HYPERLINK("https://mississippidhs.jamacloud.com/perspective.req?projectId=53&amp;docId=28686","LSRP-SHRQ-753")</f>
        <v>LSRP-SHRQ-753</v>
      </c>
      <c r="B760" s="8" t="s">
        <v>1112</v>
      </c>
      <c r="C760" s="35" t="s">
        <v>401</v>
      </c>
      <c r="D760" s="36" t="s">
        <v>31</v>
      </c>
      <c r="E760" s="37" t="s">
        <v>779</v>
      </c>
      <c r="F760" s="35" t="s">
        <v>322</v>
      </c>
      <c r="G760" s="7"/>
      <c r="H760" s="7"/>
      <c r="I760" s="12"/>
    </row>
    <row r="761" spans="1:9" ht="25.5" x14ac:dyDescent="0.2">
      <c r="A761" s="35" t="str">
        <f>HYPERLINK("https://mississippidhs.jamacloud.com/perspective.req?projectId=53&amp;docId=28687","LSRP-SHRQ-754")</f>
        <v>LSRP-SHRQ-754</v>
      </c>
      <c r="B761" s="8" t="s">
        <v>1113</v>
      </c>
      <c r="C761" s="35" t="s">
        <v>401</v>
      </c>
      <c r="D761" s="36" t="s">
        <v>31</v>
      </c>
      <c r="E761" s="37" t="s">
        <v>779</v>
      </c>
      <c r="F761" s="35" t="s">
        <v>322</v>
      </c>
      <c r="G761" s="7"/>
      <c r="H761" s="7"/>
      <c r="I761" s="12"/>
    </row>
    <row r="762" spans="1:9" ht="38.25" x14ac:dyDescent="0.2">
      <c r="A762" s="35" t="str">
        <f>HYPERLINK("https://mississippidhs.jamacloud.com/perspective.req?projectId=53&amp;docId=28688","LSRP-SHRQ-755")</f>
        <v>LSRP-SHRQ-755</v>
      </c>
      <c r="B762" s="8" t="s">
        <v>1114</v>
      </c>
      <c r="C762" s="35" t="s">
        <v>401</v>
      </c>
      <c r="D762" s="36" t="s">
        <v>31</v>
      </c>
      <c r="E762" s="37" t="s">
        <v>779</v>
      </c>
      <c r="F762" s="35" t="s">
        <v>322</v>
      </c>
      <c r="G762" s="7"/>
      <c r="H762" s="7"/>
      <c r="I762" s="12"/>
    </row>
    <row r="763" spans="1:9" ht="38.25" x14ac:dyDescent="0.2">
      <c r="A763" s="35" t="str">
        <f>HYPERLINK("https://mississippidhs.jamacloud.com/perspective.req?projectId=53&amp;docId=28689","LSRP-SHRQ-756")</f>
        <v>LSRP-SHRQ-756</v>
      </c>
      <c r="B763" s="8" t="s">
        <v>1115</v>
      </c>
      <c r="C763" s="35" t="s">
        <v>401</v>
      </c>
      <c r="D763" s="36" t="s">
        <v>31</v>
      </c>
      <c r="E763" s="37" t="s">
        <v>779</v>
      </c>
      <c r="F763" s="35" t="s">
        <v>322</v>
      </c>
      <c r="G763" s="7"/>
      <c r="H763" s="7"/>
      <c r="I763" s="12"/>
    </row>
    <row r="764" spans="1:9" ht="25.5" x14ac:dyDescent="0.2">
      <c r="A764" s="35" t="str">
        <f>HYPERLINK("https://mississippidhs.jamacloud.com/perspective.req?projectId=53&amp;docId=28690","LSRP-SHRQ-757")</f>
        <v>LSRP-SHRQ-757</v>
      </c>
      <c r="B764" s="8" t="s">
        <v>1116</v>
      </c>
      <c r="C764" s="35" t="s">
        <v>401</v>
      </c>
      <c r="D764" s="36" t="s">
        <v>31</v>
      </c>
      <c r="E764" s="37" t="s">
        <v>779</v>
      </c>
      <c r="F764" s="35" t="s">
        <v>322</v>
      </c>
      <c r="G764" s="7"/>
      <c r="H764" s="7"/>
      <c r="I764" s="12"/>
    </row>
    <row r="765" spans="1:9" ht="38.25" x14ac:dyDescent="0.2">
      <c r="A765" s="35" t="str">
        <f>HYPERLINK("https://mississippidhs.jamacloud.com/perspective.req?projectId=53&amp;docId=28691","LSRP-SHRQ-758")</f>
        <v>LSRP-SHRQ-758</v>
      </c>
      <c r="B765" s="8" t="s">
        <v>1117</v>
      </c>
      <c r="C765" s="35" t="s">
        <v>401</v>
      </c>
      <c r="D765" s="36" t="s">
        <v>31</v>
      </c>
      <c r="E765" s="37" t="s">
        <v>779</v>
      </c>
      <c r="F765" s="35" t="s">
        <v>322</v>
      </c>
      <c r="G765" s="7"/>
      <c r="H765" s="7"/>
      <c r="I765" s="12"/>
    </row>
    <row r="766" spans="1:9" ht="38.25" x14ac:dyDescent="0.2">
      <c r="A766" s="35" t="str">
        <f>HYPERLINK("https://mississippidhs.jamacloud.com/perspective.req?projectId=53&amp;docId=28692","LSRP-SHRQ-759")</f>
        <v>LSRP-SHRQ-759</v>
      </c>
      <c r="B766" s="8" t="s">
        <v>1118</v>
      </c>
      <c r="C766" s="35" t="s">
        <v>401</v>
      </c>
      <c r="D766" s="36" t="s">
        <v>31</v>
      </c>
      <c r="E766" s="37" t="s">
        <v>779</v>
      </c>
      <c r="F766" s="35" t="s">
        <v>898</v>
      </c>
      <c r="G766" s="7"/>
      <c r="H766" s="7"/>
      <c r="I766" s="12"/>
    </row>
    <row r="767" spans="1:9" ht="25.5" x14ac:dyDescent="0.2">
      <c r="A767" s="35" t="str">
        <f>HYPERLINK("https://mississippidhs.jamacloud.com/perspective.req?projectId=53&amp;docId=28693","LSRP-SHRQ-760")</f>
        <v>LSRP-SHRQ-760</v>
      </c>
      <c r="B767" s="8" t="s">
        <v>1119</v>
      </c>
      <c r="C767" s="35" t="s">
        <v>401</v>
      </c>
      <c r="D767" s="36" t="s">
        <v>31</v>
      </c>
      <c r="E767" s="37" t="s">
        <v>779</v>
      </c>
      <c r="F767" s="35" t="s">
        <v>322</v>
      </c>
      <c r="G767" s="7"/>
      <c r="H767" s="7"/>
      <c r="I767" s="12"/>
    </row>
    <row r="768" spans="1:9" ht="25.5" x14ac:dyDescent="0.2">
      <c r="A768" s="35" t="str">
        <f>HYPERLINK("https://mississippidhs.jamacloud.com/perspective.req?projectId=53&amp;docId=28694","LSRP-SHRQ-761")</f>
        <v>LSRP-SHRQ-761</v>
      </c>
      <c r="B768" s="8" t="s">
        <v>1120</v>
      </c>
      <c r="C768" s="35" t="s">
        <v>401</v>
      </c>
      <c r="D768" s="36" t="s">
        <v>31</v>
      </c>
      <c r="E768" s="37" t="s">
        <v>779</v>
      </c>
      <c r="F768" s="35" t="s">
        <v>322</v>
      </c>
      <c r="G768" s="7"/>
      <c r="H768" s="7"/>
      <c r="I768" s="12"/>
    </row>
    <row r="769" spans="1:9" ht="51" x14ac:dyDescent="0.2">
      <c r="A769" s="35" t="str">
        <f>HYPERLINK("https://mississippidhs.jamacloud.com/perspective.req?projectId=53&amp;docId=28695","LSRP-SHRQ-762")</f>
        <v>LSRP-SHRQ-762</v>
      </c>
      <c r="B769" s="8" t="s">
        <v>1121</v>
      </c>
      <c r="C769" s="35" t="s">
        <v>401</v>
      </c>
      <c r="D769" s="36" t="s">
        <v>31</v>
      </c>
      <c r="E769" s="37" t="s">
        <v>779</v>
      </c>
      <c r="F769" s="35" t="s">
        <v>322</v>
      </c>
      <c r="G769" s="7"/>
      <c r="H769" s="7"/>
      <c r="I769" s="12"/>
    </row>
    <row r="770" spans="1:9" ht="14.25" x14ac:dyDescent="0.2">
      <c r="A770" s="35" t="str">
        <f>HYPERLINK("https://mississippidhs.jamacloud.com/perspective.req?projectId=53&amp;docId=28696","LSRP-SHRQ-763")</f>
        <v>LSRP-SHRQ-763</v>
      </c>
      <c r="B770" s="8" t="s">
        <v>1122</v>
      </c>
      <c r="C770" s="35" t="s">
        <v>401</v>
      </c>
      <c r="D770" s="36" t="s">
        <v>31</v>
      </c>
      <c r="E770" s="37" t="s">
        <v>779</v>
      </c>
      <c r="F770" s="35" t="s">
        <v>322</v>
      </c>
      <c r="G770" s="7"/>
      <c r="H770" s="7"/>
      <c r="I770" s="12"/>
    </row>
    <row r="771" spans="1:9" ht="38.25" x14ac:dyDescent="0.2">
      <c r="A771" s="35" t="str">
        <f>HYPERLINK("https://mississippidhs.jamacloud.com/perspective.req?projectId=53&amp;docId=28697","LSRP-SHRQ-764")</f>
        <v>LSRP-SHRQ-764</v>
      </c>
      <c r="B771" s="8" t="s">
        <v>1123</v>
      </c>
      <c r="C771" s="35" t="s">
        <v>401</v>
      </c>
      <c r="D771" s="36" t="s">
        <v>31</v>
      </c>
      <c r="E771" s="37" t="s">
        <v>779</v>
      </c>
      <c r="F771" s="35" t="s">
        <v>322</v>
      </c>
      <c r="G771" s="7"/>
      <c r="H771" s="7"/>
      <c r="I771" s="12"/>
    </row>
    <row r="772" spans="1:9" ht="25.5" x14ac:dyDescent="0.2">
      <c r="A772" s="35" t="str">
        <f>HYPERLINK("https://mississippidhs.jamacloud.com/perspective.req?projectId=53&amp;docId=28698","LSRP-SHRQ-765")</f>
        <v>LSRP-SHRQ-765</v>
      </c>
      <c r="B772" s="8" t="s">
        <v>1124</v>
      </c>
      <c r="C772" s="35" t="s">
        <v>401</v>
      </c>
      <c r="D772" s="36" t="s">
        <v>31</v>
      </c>
      <c r="E772" s="37" t="s">
        <v>779</v>
      </c>
      <c r="F772" s="35" t="s">
        <v>322</v>
      </c>
      <c r="G772" s="7"/>
      <c r="H772" s="7"/>
      <c r="I772" s="12"/>
    </row>
    <row r="773" spans="1:9" ht="25.5" x14ac:dyDescent="0.2">
      <c r="A773" s="35" t="str">
        <f>HYPERLINK("https://mississippidhs.jamacloud.com/perspective.req?projectId=53&amp;docId=28699","LSRP-SHRQ-766")</f>
        <v>LSRP-SHRQ-766</v>
      </c>
      <c r="B773" s="8" t="s">
        <v>1125</v>
      </c>
      <c r="C773" s="35" t="s">
        <v>401</v>
      </c>
      <c r="D773" s="36" t="s">
        <v>31</v>
      </c>
      <c r="E773" s="37" t="s">
        <v>779</v>
      </c>
      <c r="F773" s="35" t="s">
        <v>322</v>
      </c>
      <c r="G773" s="7"/>
      <c r="H773" s="7"/>
      <c r="I773" s="12"/>
    </row>
    <row r="774" spans="1:9" ht="38.25" x14ac:dyDescent="0.2">
      <c r="A774" s="35" t="str">
        <f>HYPERLINK("https://mississippidhs.jamacloud.com/perspective.req?projectId=53&amp;docId=28700","LSRP-SHRQ-767")</f>
        <v>LSRP-SHRQ-767</v>
      </c>
      <c r="B774" s="8" t="s">
        <v>1126</v>
      </c>
      <c r="C774" s="35" t="s">
        <v>401</v>
      </c>
      <c r="D774" s="36" t="s">
        <v>31</v>
      </c>
      <c r="E774" s="37" t="s">
        <v>779</v>
      </c>
      <c r="F774" s="35" t="s">
        <v>322</v>
      </c>
      <c r="G774" s="7"/>
      <c r="H774" s="7"/>
      <c r="I774" s="12"/>
    </row>
    <row r="775" spans="1:9" ht="25.5" x14ac:dyDescent="0.2">
      <c r="A775" s="35" t="str">
        <f>HYPERLINK("https://mississippidhs.jamacloud.com/perspective.req?projectId=53&amp;docId=28701","LSRP-SHRQ-768")</f>
        <v>LSRP-SHRQ-768</v>
      </c>
      <c r="B775" s="8" t="s">
        <v>1127</v>
      </c>
      <c r="C775" s="35" t="s">
        <v>401</v>
      </c>
      <c r="D775" s="36" t="s">
        <v>31</v>
      </c>
      <c r="E775" s="37" t="s">
        <v>779</v>
      </c>
      <c r="F775" s="35" t="s">
        <v>322</v>
      </c>
      <c r="G775" s="7"/>
      <c r="H775" s="7"/>
      <c r="I775" s="12"/>
    </row>
    <row r="776" spans="1:9" ht="25.5" x14ac:dyDescent="0.2">
      <c r="A776" s="35" t="str">
        <f>HYPERLINK("https://mississippidhs.jamacloud.com/perspective.req?projectId=53&amp;docId=28702","LSRP-SHRQ-769")</f>
        <v>LSRP-SHRQ-769</v>
      </c>
      <c r="B776" s="8" t="s">
        <v>1128</v>
      </c>
      <c r="C776" s="35" t="s">
        <v>401</v>
      </c>
      <c r="D776" s="36" t="s">
        <v>31</v>
      </c>
      <c r="E776" s="37" t="s">
        <v>779</v>
      </c>
      <c r="F776" s="35" t="s">
        <v>322</v>
      </c>
      <c r="G776" s="7"/>
      <c r="H776" s="7"/>
      <c r="I776" s="12"/>
    </row>
    <row r="777" spans="1:9" ht="25.5" x14ac:dyDescent="0.2">
      <c r="A777" s="35" t="str">
        <f>HYPERLINK("https://mississippidhs.jamacloud.com/perspective.req?projectId=53&amp;docId=28703","LSRP-SHRQ-770")</f>
        <v>LSRP-SHRQ-770</v>
      </c>
      <c r="B777" s="8" t="s">
        <v>1129</v>
      </c>
      <c r="C777" s="35" t="s">
        <v>401</v>
      </c>
      <c r="D777" s="36" t="s">
        <v>31</v>
      </c>
      <c r="E777" s="37" t="s">
        <v>779</v>
      </c>
      <c r="F777" s="35" t="s">
        <v>425</v>
      </c>
      <c r="G777" s="7"/>
      <c r="H777" s="7"/>
      <c r="I777" s="12"/>
    </row>
    <row r="778" spans="1:9" ht="38.25" x14ac:dyDescent="0.2">
      <c r="A778" s="35" t="str">
        <f>HYPERLINK("https://mississippidhs.jamacloud.com/perspective.req?projectId=53&amp;docId=28704","LSRP-SHRQ-771")</f>
        <v>LSRP-SHRQ-771</v>
      </c>
      <c r="B778" s="8" t="s">
        <v>1130</v>
      </c>
      <c r="C778" s="35" t="s">
        <v>401</v>
      </c>
      <c r="D778" s="36" t="s">
        <v>31</v>
      </c>
      <c r="E778" s="37" t="s">
        <v>779</v>
      </c>
      <c r="F778" s="35" t="s">
        <v>322</v>
      </c>
      <c r="G778" s="7"/>
      <c r="H778" s="7"/>
      <c r="I778" s="12"/>
    </row>
    <row r="779" spans="1:9" ht="25.5" x14ac:dyDescent="0.2">
      <c r="A779" s="35" t="str">
        <f>HYPERLINK("https://mississippidhs.jamacloud.com/perspective.req?projectId=53&amp;docId=28705","LSRP-SHRQ-772")</f>
        <v>LSRP-SHRQ-772</v>
      </c>
      <c r="B779" s="8" t="s">
        <v>1131</v>
      </c>
      <c r="C779" s="35" t="s">
        <v>401</v>
      </c>
      <c r="D779" s="36" t="s">
        <v>31</v>
      </c>
      <c r="E779" s="37" t="s">
        <v>779</v>
      </c>
      <c r="F779" s="35" t="s">
        <v>1132</v>
      </c>
      <c r="G779" s="7"/>
      <c r="H779" s="7"/>
      <c r="I779" s="12"/>
    </row>
    <row r="780" spans="1:9" ht="14.25" x14ac:dyDescent="0.2">
      <c r="A780" s="35" t="str">
        <f>HYPERLINK("https://mississippidhs.jamacloud.com/perspective.req?projectId=53&amp;docId=28706","LSRP-SHRQ-773")</f>
        <v>LSRP-SHRQ-773</v>
      </c>
      <c r="B780" s="8" t="s">
        <v>1133</v>
      </c>
      <c r="C780" s="35" t="s">
        <v>401</v>
      </c>
      <c r="D780" s="36" t="s">
        <v>31</v>
      </c>
      <c r="E780" s="37" t="s">
        <v>779</v>
      </c>
      <c r="F780" s="35" t="s">
        <v>322</v>
      </c>
      <c r="G780" s="7"/>
      <c r="H780" s="7"/>
      <c r="I780" s="12"/>
    </row>
    <row r="781" spans="1:9" ht="25.5" x14ac:dyDescent="0.2">
      <c r="A781" s="35" t="str">
        <f>HYPERLINK("https://mississippidhs.jamacloud.com/perspective.req?projectId=53&amp;docId=28707","LSRP-SHRQ-774")</f>
        <v>LSRP-SHRQ-774</v>
      </c>
      <c r="B781" s="8" t="s">
        <v>1134</v>
      </c>
      <c r="C781" s="35" t="s">
        <v>401</v>
      </c>
      <c r="D781" s="36" t="s">
        <v>31</v>
      </c>
      <c r="E781" s="37" t="s">
        <v>779</v>
      </c>
      <c r="F781" s="35" t="s">
        <v>322</v>
      </c>
      <c r="G781" s="7"/>
      <c r="H781" s="7"/>
      <c r="I781" s="12"/>
    </row>
    <row r="782" spans="1:9" ht="14.25" x14ac:dyDescent="0.2">
      <c r="A782" s="35" t="str">
        <f>HYPERLINK("https://mississippidhs.jamacloud.com/perspective.req?projectId=53&amp;docId=28708","LSRP-SHRQ-775")</f>
        <v>LSRP-SHRQ-775</v>
      </c>
      <c r="B782" s="8" t="s">
        <v>1135</v>
      </c>
      <c r="C782" s="35" t="s">
        <v>401</v>
      </c>
      <c r="D782" s="36" t="s">
        <v>31</v>
      </c>
      <c r="E782" s="37" t="s">
        <v>779</v>
      </c>
      <c r="F782" s="35" t="s">
        <v>322</v>
      </c>
      <c r="G782" s="7"/>
      <c r="H782" s="7"/>
      <c r="I782" s="12"/>
    </row>
    <row r="783" spans="1:9" ht="25.5" x14ac:dyDescent="0.2">
      <c r="A783" s="35" t="str">
        <f>HYPERLINK("https://mississippidhs.jamacloud.com/perspective.req?projectId=53&amp;docId=28709","LSRP-SHRQ-776")</f>
        <v>LSRP-SHRQ-776</v>
      </c>
      <c r="B783" s="8" t="s">
        <v>1136</v>
      </c>
      <c r="C783" s="35" t="s">
        <v>401</v>
      </c>
      <c r="D783" s="36" t="s">
        <v>31</v>
      </c>
      <c r="E783" s="37" t="s">
        <v>779</v>
      </c>
      <c r="F783" s="35" t="s">
        <v>322</v>
      </c>
      <c r="G783" s="7"/>
      <c r="H783" s="7"/>
      <c r="I783" s="12"/>
    </row>
    <row r="784" spans="1:9" ht="25.5" x14ac:dyDescent="0.2">
      <c r="A784" s="35" t="str">
        <f>HYPERLINK("https://mississippidhs.jamacloud.com/perspective.req?projectId=53&amp;docId=28710","LSRP-SHRQ-777")</f>
        <v>LSRP-SHRQ-777</v>
      </c>
      <c r="B784" s="8" t="s">
        <v>1137</v>
      </c>
      <c r="C784" s="35" t="s">
        <v>401</v>
      </c>
      <c r="D784" s="36" t="s">
        <v>31</v>
      </c>
      <c r="E784" s="37" t="s">
        <v>779</v>
      </c>
      <c r="F784" s="35" t="s">
        <v>322</v>
      </c>
      <c r="G784" s="7"/>
      <c r="H784" s="7"/>
      <c r="I784" s="12"/>
    </row>
    <row r="785" spans="1:9" ht="25.5" x14ac:dyDescent="0.2">
      <c r="A785" s="35" t="str">
        <f>HYPERLINK("https://mississippidhs.jamacloud.com/perspective.req?projectId=53&amp;docId=28711","LSRP-SHRQ-778")</f>
        <v>LSRP-SHRQ-778</v>
      </c>
      <c r="B785" s="8" t="s">
        <v>1138</v>
      </c>
      <c r="C785" s="35" t="s">
        <v>401</v>
      </c>
      <c r="D785" s="36" t="s">
        <v>31</v>
      </c>
      <c r="E785" s="37" t="s">
        <v>779</v>
      </c>
      <c r="F785" s="35" t="s">
        <v>322</v>
      </c>
      <c r="G785" s="7"/>
      <c r="H785" s="7"/>
      <c r="I785" s="12"/>
    </row>
    <row r="786" spans="1:9" ht="38.25" x14ac:dyDescent="0.2">
      <c r="A786" s="35" t="str">
        <f>HYPERLINK("https://mississippidhs.jamacloud.com/perspective.req?projectId=53&amp;docId=28712","LSRP-SHRQ-779")</f>
        <v>LSRP-SHRQ-779</v>
      </c>
      <c r="B786" s="8" t="s">
        <v>1139</v>
      </c>
      <c r="C786" s="35" t="s">
        <v>401</v>
      </c>
      <c r="D786" s="36" t="s">
        <v>31</v>
      </c>
      <c r="E786" s="37" t="s">
        <v>779</v>
      </c>
      <c r="F786" s="35" t="s">
        <v>322</v>
      </c>
      <c r="G786" s="7"/>
      <c r="H786" s="7"/>
      <c r="I786" s="12"/>
    </row>
    <row r="787" spans="1:9" ht="25.5" x14ac:dyDescent="0.2">
      <c r="A787" s="35" t="str">
        <f>HYPERLINK("https://mississippidhs.jamacloud.com/perspective.req?projectId=53&amp;docId=28713","LSRP-SHRQ-780")</f>
        <v>LSRP-SHRQ-780</v>
      </c>
      <c r="B787" s="8" t="s">
        <v>1140</v>
      </c>
      <c r="C787" s="35" t="s">
        <v>401</v>
      </c>
      <c r="D787" s="36" t="s">
        <v>31</v>
      </c>
      <c r="E787" s="37" t="s">
        <v>779</v>
      </c>
      <c r="F787" s="35" t="s">
        <v>322</v>
      </c>
      <c r="G787" s="7"/>
      <c r="H787" s="7"/>
      <c r="I787" s="12"/>
    </row>
    <row r="788" spans="1:9" ht="25.5" x14ac:dyDescent="0.2">
      <c r="A788" s="35" t="str">
        <f>HYPERLINK("https://mississippidhs.jamacloud.com/perspective.req?projectId=53&amp;docId=28714","LSRP-SHRQ-781")</f>
        <v>LSRP-SHRQ-781</v>
      </c>
      <c r="B788" s="8" t="s">
        <v>1141</v>
      </c>
      <c r="C788" s="35" t="s">
        <v>401</v>
      </c>
      <c r="D788" s="36" t="s">
        <v>31</v>
      </c>
      <c r="E788" s="37" t="s">
        <v>779</v>
      </c>
      <c r="F788" s="35" t="s">
        <v>322</v>
      </c>
      <c r="G788" s="7"/>
      <c r="H788" s="7"/>
      <c r="I788" s="12"/>
    </row>
    <row r="789" spans="1:9" ht="51" x14ac:dyDescent="0.2">
      <c r="A789" s="35" t="str">
        <f>HYPERLINK("https://mississippidhs.jamacloud.com/perspective.req?projectId=53&amp;docId=28715","LSRP-SHRQ-782")</f>
        <v>LSRP-SHRQ-782</v>
      </c>
      <c r="B789" s="8" t="s">
        <v>1142</v>
      </c>
      <c r="C789" s="35" t="s">
        <v>401</v>
      </c>
      <c r="D789" s="36" t="s">
        <v>31</v>
      </c>
      <c r="E789" s="37" t="s">
        <v>779</v>
      </c>
      <c r="F789" s="35" t="s">
        <v>322</v>
      </c>
      <c r="G789" s="7"/>
      <c r="H789" s="7"/>
      <c r="I789" s="12"/>
    </row>
    <row r="790" spans="1:9" ht="38.25" x14ac:dyDescent="0.2">
      <c r="A790" s="35" t="str">
        <f>HYPERLINK("https://mississippidhs.jamacloud.com/perspective.req?projectId=53&amp;docId=28716","LSRP-SHRQ-783")</f>
        <v>LSRP-SHRQ-783</v>
      </c>
      <c r="B790" s="8" t="s">
        <v>1143</v>
      </c>
      <c r="C790" s="35" t="s">
        <v>401</v>
      </c>
      <c r="D790" s="36" t="s">
        <v>31</v>
      </c>
      <c r="E790" s="37" t="s">
        <v>779</v>
      </c>
      <c r="F790" s="35" t="s">
        <v>322</v>
      </c>
      <c r="G790" s="7"/>
      <c r="H790" s="7"/>
      <c r="I790" s="12"/>
    </row>
    <row r="791" spans="1:9" ht="25.5" x14ac:dyDescent="0.2">
      <c r="A791" s="35" t="str">
        <f>HYPERLINK("https://mississippidhs.jamacloud.com/perspective.req?projectId=53&amp;docId=28717","LSRP-SHRQ-784")</f>
        <v>LSRP-SHRQ-784</v>
      </c>
      <c r="B791" s="8" t="s">
        <v>1144</v>
      </c>
      <c r="C791" s="35" t="s">
        <v>401</v>
      </c>
      <c r="D791" s="36" t="s">
        <v>31</v>
      </c>
      <c r="E791" s="37" t="s">
        <v>779</v>
      </c>
      <c r="F791" s="35" t="s">
        <v>322</v>
      </c>
      <c r="G791" s="7"/>
      <c r="H791" s="7"/>
      <c r="I791" s="12"/>
    </row>
    <row r="792" spans="1:9" ht="14.25" x14ac:dyDescent="0.2">
      <c r="A792" s="35" t="str">
        <f>HYPERLINK("https://mississippidhs.jamacloud.com/perspective.req?projectId=53&amp;docId=29732","LSRP-SHRQ-1788")</f>
        <v>LSRP-SHRQ-1788</v>
      </c>
      <c r="B792" s="8" t="s">
        <v>1145</v>
      </c>
      <c r="C792" s="35" t="s">
        <v>401</v>
      </c>
      <c r="D792" s="36" t="s">
        <v>31</v>
      </c>
      <c r="E792" s="37" t="s">
        <v>779</v>
      </c>
      <c r="F792" s="35" t="s">
        <v>1020</v>
      </c>
      <c r="G792" s="7"/>
      <c r="H792" s="7"/>
      <c r="I792" s="12"/>
    </row>
    <row r="793" spans="1:9" ht="51" x14ac:dyDescent="0.2">
      <c r="A793" s="35" t="str">
        <f>HYPERLINK("https://mississippidhs.jamacloud.com/perspective.req?projectId=53&amp;docId=28718","LSRP-SHRQ-785")</f>
        <v>LSRP-SHRQ-785</v>
      </c>
      <c r="B793" s="8" t="s">
        <v>1147</v>
      </c>
      <c r="C793" s="35" t="s">
        <v>319</v>
      </c>
      <c r="D793" s="36" t="s">
        <v>31</v>
      </c>
      <c r="E793" s="37" t="s">
        <v>779</v>
      </c>
      <c r="F793" s="35" t="s">
        <v>322</v>
      </c>
      <c r="G793" s="7"/>
      <c r="H793" s="7"/>
      <c r="I793" s="12"/>
    </row>
    <row r="794" spans="1:9" ht="25.5" x14ac:dyDescent="0.2">
      <c r="A794" s="35" t="str">
        <f>HYPERLINK("https://mississippidhs.jamacloud.com/perspective.req?projectId=53&amp;docId=28719","LSRP-SHRQ-786")</f>
        <v>LSRP-SHRQ-786</v>
      </c>
      <c r="B794" s="8" t="s">
        <v>1148</v>
      </c>
      <c r="C794" s="35" t="s">
        <v>319</v>
      </c>
      <c r="D794" s="36" t="s">
        <v>31</v>
      </c>
      <c r="E794" s="37" t="s">
        <v>779</v>
      </c>
      <c r="F794" s="35" t="s">
        <v>322</v>
      </c>
      <c r="G794" s="7"/>
      <c r="H794" s="7"/>
      <c r="I794" s="12"/>
    </row>
    <row r="795" spans="1:9" ht="25.5" x14ac:dyDescent="0.2">
      <c r="A795" s="35" t="str">
        <f>HYPERLINK("https://mississippidhs.jamacloud.com/perspective.req?projectId=53&amp;docId=28720","LSRP-SHRQ-787")</f>
        <v>LSRP-SHRQ-787</v>
      </c>
      <c r="B795" s="8" t="s">
        <v>1149</v>
      </c>
      <c r="C795" s="35" t="s">
        <v>319</v>
      </c>
      <c r="D795" s="36" t="s">
        <v>31</v>
      </c>
      <c r="E795" s="37" t="s">
        <v>779</v>
      </c>
      <c r="F795" s="35" t="s">
        <v>322</v>
      </c>
      <c r="G795" s="7"/>
      <c r="H795" s="7"/>
      <c r="I795" s="12"/>
    </row>
    <row r="796" spans="1:9" ht="51" x14ac:dyDescent="0.2">
      <c r="A796" s="35" t="str">
        <f>HYPERLINK("https://mississippidhs.jamacloud.com/perspective.req?projectId=53&amp;docId=28721","LSRP-SHRQ-788")</f>
        <v>LSRP-SHRQ-788</v>
      </c>
      <c r="B796" s="8" t="s">
        <v>1150</v>
      </c>
      <c r="C796" s="35" t="s">
        <v>319</v>
      </c>
      <c r="D796" s="36" t="s">
        <v>31</v>
      </c>
      <c r="E796" s="37" t="s">
        <v>779</v>
      </c>
      <c r="F796" s="35" t="s">
        <v>322</v>
      </c>
      <c r="G796" s="7"/>
      <c r="H796" s="7"/>
      <c r="I796" s="12"/>
    </row>
    <row r="797" spans="1:9" ht="51" x14ac:dyDescent="0.2">
      <c r="A797" s="35" t="str">
        <f>HYPERLINK("https://mississippidhs.jamacloud.com/perspective.req?projectId=53&amp;docId=28722","LSRP-SHRQ-789")</f>
        <v>LSRP-SHRQ-789</v>
      </c>
      <c r="B797" s="8" t="s">
        <v>1151</v>
      </c>
      <c r="C797" s="35" t="s">
        <v>319</v>
      </c>
      <c r="D797" s="36" t="s">
        <v>31</v>
      </c>
      <c r="E797" s="37" t="s">
        <v>779</v>
      </c>
      <c r="F797" s="35" t="s">
        <v>322</v>
      </c>
      <c r="G797" s="7"/>
      <c r="H797" s="7"/>
      <c r="I797" s="12"/>
    </row>
    <row r="798" spans="1:9" ht="51" x14ac:dyDescent="0.2">
      <c r="A798" s="35" t="str">
        <f>HYPERLINK("https://mississippidhs.jamacloud.com/perspective.req?projectId=53&amp;docId=28723","LSRP-SHRQ-790")</f>
        <v>LSRP-SHRQ-790</v>
      </c>
      <c r="B798" s="8" t="s">
        <v>1152</v>
      </c>
      <c r="C798" s="35" t="s">
        <v>319</v>
      </c>
      <c r="D798" s="36" t="s">
        <v>31</v>
      </c>
      <c r="E798" s="37" t="s">
        <v>779</v>
      </c>
      <c r="F798" s="35" t="s">
        <v>322</v>
      </c>
      <c r="G798" s="7"/>
      <c r="H798" s="7"/>
      <c r="I798" s="12"/>
    </row>
    <row r="799" spans="1:9" ht="38.25" x14ac:dyDescent="0.2">
      <c r="A799" s="35" t="str">
        <f>HYPERLINK("https://mississippidhs.jamacloud.com/perspective.req?projectId=53&amp;docId=28724","LSRP-SHRQ-791")</f>
        <v>LSRP-SHRQ-791</v>
      </c>
      <c r="B799" s="8" t="s">
        <v>1153</v>
      </c>
      <c r="C799" s="35" t="s">
        <v>319</v>
      </c>
      <c r="D799" s="36" t="s">
        <v>31</v>
      </c>
      <c r="E799" s="37" t="s">
        <v>779</v>
      </c>
      <c r="F799" s="35" t="s">
        <v>322</v>
      </c>
      <c r="G799" s="7"/>
      <c r="H799" s="7"/>
      <c r="I799" s="12"/>
    </row>
    <row r="800" spans="1:9" ht="38.25" x14ac:dyDescent="0.2">
      <c r="A800" s="35" t="str">
        <f>HYPERLINK("https://mississippidhs.jamacloud.com/perspective.req?projectId=53&amp;docId=28725","LSRP-SHRQ-792")</f>
        <v>LSRP-SHRQ-792</v>
      </c>
      <c r="B800" s="8" t="s">
        <v>1154</v>
      </c>
      <c r="C800" s="35" t="s">
        <v>319</v>
      </c>
      <c r="D800" s="36" t="s">
        <v>31</v>
      </c>
      <c r="E800" s="37" t="s">
        <v>779</v>
      </c>
      <c r="F800" s="35" t="s">
        <v>322</v>
      </c>
      <c r="G800" s="7"/>
      <c r="H800" s="7"/>
      <c r="I800" s="12"/>
    </row>
    <row r="801" spans="1:9" ht="14.25" x14ac:dyDescent="0.2">
      <c r="A801" s="35" t="str">
        <f>HYPERLINK("https://mississippidhs.jamacloud.com/perspective.req?projectId=53&amp;docId=28726","LSRP-SHRQ-793")</f>
        <v>LSRP-SHRQ-793</v>
      </c>
      <c r="B801" s="8" t="s">
        <v>1155</v>
      </c>
      <c r="C801" s="35" t="s">
        <v>319</v>
      </c>
      <c r="D801" s="36" t="s">
        <v>31</v>
      </c>
      <c r="E801" s="37" t="s">
        <v>779</v>
      </c>
      <c r="F801" s="35" t="s">
        <v>322</v>
      </c>
      <c r="G801" s="7"/>
      <c r="H801" s="7"/>
      <c r="I801" s="12"/>
    </row>
    <row r="802" spans="1:9" ht="25.5" x14ac:dyDescent="0.2">
      <c r="A802" s="35" t="str">
        <f>HYPERLINK("https://mississippidhs.jamacloud.com/perspective.req?projectId=53&amp;docId=28727","LSRP-SHRQ-794")</f>
        <v>LSRP-SHRQ-794</v>
      </c>
      <c r="B802" s="8" t="s">
        <v>1156</v>
      </c>
      <c r="C802" s="35" t="s">
        <v>319</v>
      </c>
      <c r="D802" s="36" t="s">
        <v>31</v>
      </c>
      <c r="E802" s="37" t="s">
        <v>779</v>
      </c>
      <c r="F802" s="35" t="s">
        <v>322</v>
      </c>
      <c r="G802" s="7"/>
      <c r="H802" s="7"/>
      <c r="I802" s="12"/>
    </row>
    <row r="803" spans="1:9" ht="51" x14ac:dyDescent="0.2">
      <c r="A803" s="35" t="str">
        <f>HYPERLINK("https://mississippidhs.jamacloud.com/perspective.req?projectId=53&amp;docId=28728","LSRP-SHRQ-795")</f>
        <v>LSRP-SHRQ-795</v>
      </c>
      <c r="B803" s="8" t="s">
        <v>1157</v>
      </c>
      <c r="C803" s="35" t="s">
        <v>319</v>
      </c>
      <c r="D803" s="36" t="s">
        <v>31</v>
      </c>
      <c r="E803" s="37" t="s">
        <v>779</v>
      </c>
      <c r="F803" s="35" t="s">
        <v>322</v>
      </c>
      <c r="G803" s="7"/>
      <c r="H803" s="7"/>
      <c r="I803" s="12"/>
    </row>
    <row r="804" spans="1:9" ht="25.5" x14ac:dyDescent="0.2">
      <c r="A804" s="35" t="str">
        <f>HYPERLINK("https://mississippidhs.jamacloud.com/perspective.req?projectId=53&amp;docId=28729","LSRP-SHRQ-796")</f>
        <v>LSRP-SHRQ-796</v>
      </c>
      <c r="B804" s="8" t="s">
        <v>1158</v>
      </c>
      <c r="C804" s="35" t="s">
        <v>319</v>
      </c>
      <c r="D804" s="36" t="s">
        <v>31</v>
      </c>
      <c r="E804" s="37" t="s">
        <v>779</v>
      </c>
      <c r="F804" s="35" t="s">
        <v>322</v>
      </c>
      <c r="G804" s="7"/>
      <c r="H804" s="7"/>
      <c r="I804" s="12"/>
    </row>
    <row r="805" spans="1:9" ht="38.25" x14ac:dyDescent="0.2">
      <c r="A805" s="35" t="str">
        <f>HYPERLINK("https://mississippidhs.jamacloud.com/perspective.req?projectId=53&amp;docId=28730","LSRP-SHRQ-797")</f>
        <v>LSRP-SHRQ-797</v>
      </c>
      <c r="B805" s="8" t="s">
        <v>1159</v>
      </c>
      <c r="C805" s="35" t="s">
        <v>319</v>
      </c>
      <c r="D805" s="36" t="s">
        <v>31</v>
      </c>
      <c r="E805" s="37" t="s">
        <v>779</v>
      </c>
      <c r="F805" s="35" t="s">
        <v>322</v>
      </c>
      <c r="G805" s="7"/>
      <c r="H805" s="7"/>
      <c r="I805" s="12"/>
    </row>
    <row r="806" spans="1:9" ht="38.25" x14ac:dyDescent="0.2">
      <c r="A806" s="35" t="str">
        <f>HYPERLINK("https://mississippidhs.jamacloud.com/perspective.req?projectId=53&amp;docId=28731","LSRP-SHRQ-798")</f>
        <v>LSRP-SHRQ-798</v>
      </c>
      <c r="B806" s="8" t="s">
        <v>1160</v>
      </c>
      <c r="C806" s="35" t="s">
        <v>319</v>
      </c>
      <c r="D806" s="36" t="s">
        <v>31</v>
      </c>
      <c r="E806" s="37" t="s">
        <v>779</v>
      </c>
      <c r="F806" s="35" t="s">
        <v>322</v>
      </c>
      <c r="G806" s="7"/>
      <c r="H806" s="7"/>
      <c r="I806" s="12"/>
    </row>
    <row r="807" spans="1:9" ht="38.25" x14ac:dyDescent="0.2">
      <c r="A807" s="35" t="str">
        <f>HYPERLINK("https://mississippidhs.jamacloud.com/perspective.req?projectId=53&amp;docId=28732","LSRP-SHRQ-799")</f>
        <v>LSRP-SHRQ-799</v>
      </c>
      <c r="B807" s="8" t="s">
        <v>1161</v>
      </c>
      <c r="C807" s="35" t="s">
        <v>319</v>
      </c>
      <c r="D807" s="36" t="s">
        <v>31</v>
      </c>
      <c r="E807" s="37" t="s">
        <v>779</v>
      </c>
      <c r="F807" s="35" t="s">
        <v>322</v>
      </c>
      <c r="G807" s="7"/>
      <c r="H807" s="7"/>
      <c r="I807" s="12"/>
    </row>
    <row r="808" spans="1:9" ht="25.5" x14ac:dyDescent="0.2">
      <c r="A808" s="35" t="str">
        <f>HYPERLINK("https://mississippidhs.jamacloud.com/perspective.req?projectId=53&amp;docId=28733","LSRP-SHRQ-800")</f>
        <v>LSRP-SHRQ-800</v>
      </c>
      <c r="B808" s="8" t="s">
        <v>1162</v>
      </c>
      <c r="C808" s="35" t="s">
        <v>319</v>
      </c>
      <c r="D808" s="36" t="s">
        <v>31</v>
      </c>
      <c r="E808" s="37" t="s">
        <v>779</v>
      </c>
      <c r="F808" s="35" t="s">
        <v>322</v>
      </c>
      <c r="G808" s="7"/>
      <c r="H808" s="7"/>
      <c r="I808" s="12"/>
    </row>
    <row r="809" spans="1:9" ht="25.5" x14ac:dyDescent="0.2">
      <c r="A809" s="35" t="str">
        <f>HYPERLINK("https://mississippidhs.jamacloud.com/perspective.req?projectId=53&amp;docId=28734","LSRP-SHRQ-801")</f>
        <v>LSRP-SHRQ-801</v>
      </c>
      <c r="B809" s="8" t="s">
        <v>1163</v>
      </c>
      <c r="C809" s="35" t="s">
        <v>319</v>
      </c>
      <c r="D809" s="36" t="s">
        <v>31</v>
      </c>
      <c r="E809" s="37" t="s">
        <v>779</v>
      </c>
      <c r="F809" s="35" t="s">
        <v>322</v>
      </c>
      <c r="G809" s="7"/>
      <c r="H809" s="7"/>
      <c r="I809" s="12"/>
    </row>
    <row r="810" spans="1:9" ht="25.5" x14ac:dyDescent="0.2">
      <c r="A810" s="35" t="str">
        <f>HYPERLINK("https://mississippidhs.jamacloud.com/perspective.req?projectId=53&amp;docId=28735","LSRP-SHRQ-802")</f>
        <v>LSRP-SHRQ-802</v>
      </c>
      <c r="B810" s="8" t="s">
        <v>1164</v>
      </c>
      <c r="C810" s="35" t="s">
        <v>319</v>
      </c>
      <c r="D810" s="36" t="s">
        <v>31</v>
      </c>
      <c r="E810" s="37" t="s">
        <v>779</v>
      </c>
      <c r="F810" s="35" t="s">
        <v>322</v>
      </c>
      <c r="G810" s="7"/>
      <c r="H810" s="7"/>
      <c r="I810" s="12"/>
    </row>
    <row r="811" spans="1:9" ht="38.25" x14ac:dyDescent="0.2">
      <c r="A811" s="35" t="str">
        <f>HYPERLINK("https://mississippidhs.jamacloud.com/perspective.req?projectId=53&amp;docId=28736","LSRP-SHRQ-803")</f>
        <v>LSRP-SHRQ-803</v>
      </c>
      <c r="B811" s="8" t="s">
        <v>1165</v>
      </c>
      <c r="C811" s="35" t="s">
        <v>319</v>
      </c>
      <c r="D811" s="36" t="s">
        <v>31</v>
      </c>
      <c r="E811" s="37" t="s">
        <v>779</v>
      </c>
      <c r="F811" s="35" t="s">
        <v>322</v>
      </c>
      <c r="G811" s="7"/>
      <c r="H811" s="7"/>
      <c r="I811" s="12"/>
    </row>
    <row r="812" spans="1:9" ht="25.5" x14ac:dyDescent="0.2">
      <c r="A812" s="35" t="str">
        <f>HYPERLINK("https://mississippidhs.jamacloud.com/perspective.req?projectId=53&amp;docId=28737","LSRP-SHRQ-804")</f>
        <v>LSRP-SHRQ-804</v>
      </c>
      <c r="B812" s="8" t="s">
        <v>1166</v>
      </c>
      <c r="C812" s="35" t="s">
        <v>319</v>
      </c>
      <c r="D812" s="36" t="s">
        <v>31</v>
      </c>
      <c r="E812" s="37" t="s">
        <v>779</v>
      </c>
      <c r="F812" s="35" t="s">
        <v>322</v>
      </c>
      <c r="G812" s="7"/>
      <c r="H812" s="7"/>
      <c r="I812" s="12"/>
    </row>
    <row r="813" spans="1:9" ht="14.25" x14ac:dyDescent="0.2">
      <c r="A813" s="35" t="str">
        <f>HYPERLINK("https://mississippidhs.jamacloud.com/perspective.req?projectId=53&amp;docId=28738","LSRP-SHRQ-805")</f>
        <v>LSRP-SHRQ-805</v>
      </c>
      <c r="B813" s="8" t="s">
        <v>1167</v>
      </c>
      <c r="C813" s="35" t="s">
        <v>319</v>
      </c>
      <c r="D813" s="36" t="s">
        <v>31</v>
      </c>
      <c r="E813" s="37" t="s">
        <v>779</v>
      </c>
      <c r="F813" s="35" t="s">
        <v>322</v>
      </c>
      <c r="G813" s="7"/>
      <c r="H813" s="7"/>
      <c r="I813" s="12"/>
    </row>
    <row r="814" spans="1:9" ht="25.5" x14ac:dyDescent="0.2">
      <c r="A814" s="35" t="str">
        <f>HYPERLINK("https://mississippidhs.jamacloud.com/perspective.req?projectId=53&amp;docId=28739","LSRP-SHRQ-806")</f>
        <v>LSRP-SHRQ-806</v>
      </c>
      <c r="B814" s="8" t="s">
        <v>1168</v>
      </c>
      <c r="C814" s="35" t="s">
        <v>319</v>
      </c>
      <c r="D814" s="36" t="s">
        <v>31</v>
      </c>
      <c r="E814" s="37" t="s">
        <v>779</v>
      </c>
      <c r="F814" s="35" t="s">
        <v>322</v>
      </c>
      <c r="G814" s="7"/>
      <c r="H814" s="7"/>
      <c r="I814" s="12"/>
    </row>
    <row r="815" spans="1:9" ht="38.25" x14ac:dyDescent="0.2">
      <c r="A815" s="35" t="str">
        <f>HYPERLINK("https://mississippidhs.jamacloud.com/perspective.req?projectId=53&amp;docId=28740","LSRP-SHRQ-807")</f>
        <v>LSRP-SHRQ-807</v>
      </c>
      <c r="B815" s="8" t="s">
        <v>1169</v>
      </c>
      <c r="C815" s="35" t="s">
        <v>319</v>
      </c>
      <c r="D815" s="36" t="s">
        <v>31</v>
      </c>
      <c r="E815" s="37" t="s">
        <v>779</v>
      </c>
      <c r="F815" s="35" t="s">
        <v>322</v>
      </c>
      <c r="G815" s="7"/>
      <c r="H815" s="7"/>
      <c r="I815" s="12"/>
    </row>
    <row r="816" spans="1:9" ht="25.5" x14ac:dyDescent="0.2">
      <c r="A816" s="35" t="str">
        <f>HYPERLINK("https://mississippidhs.jamacloud.com/perspective.req?projectId=53&amp;docId=28741","LSRP-SHRQ-808")</f>
        <v>LSRP-SHRQ-808</v>
      </c>
      <c r="B816" s="8" t="s">
        <v>1170</v>
      </c>
      <c r="C816" s="35" t="s">
        <v>319</v>
      </c>
      <c r="D816" s="36" t="s">
        <v>31</v>
      </c>
      <c r="E816" s="37" t="s">
        <v>779</v>
      </c>
      <c r="F816" s="35" t="s">
        <v>322</v>
      </c>
      <c r="G816" s="7"/>
      <c r="H816" s="7"/>
      <c r="I816" s="12"/>
    </row>
    <row r="817" spans="1:9" ht="25.5" x14ac:dyDescent="0.2">
      <c r="A817" s="35" t="str">
        <f>HYPERLINK("https://mississippidhs.jamacloud.com/perspective.req?projectId=53&amp;docId=28742","LSRP-SHRQ-809")</f>
        <v>LSRP-SHRQ-809</v>
      </c>
      <c r="B817" s="8" t="s">
        <v>1171</v>
      </c>
      <c r="C817" s="35" t="s">
        <v>319</v>
      </c>
      <c r="D817" s="36" t="s">
        <v>31</v>
      </c>
      <c r="E817" s="37" t="s">
        <v>779</v>
      </c>
      <c r="F817" s="35" t="s">
        <v>322</v>
      </c>
      <c r="G817" s="7"/>
      <c r="H817" s="7"/>
      <c r="I817" s="12"/>
    </row>
    <row r="818" spans="1:9" ht="25.5" x14ac:dyDescent="0.2">
      <c r="A818" s="35" t="str">
        <f>HYPERLINK("https://mississippidhs.jamacloud.com/perspective.req?projectId=53&amp;docId=28743","LSRP-SHRQ-810")</f>
        <v>LSRP-SHRQ-810</v>
      </c>
      <c r="B818" s="8" t="s">
        <v>1172</v>
      </c>
      <c r="C818" s="35" t="s">
        <v>319</v>
      </c>
      <c r="D818" s="36" t="s">
        <v>31</v>
      </c>
      <c r="E818" s="37" t="s">
        <v>779</v>
      </c>
      <c r="F818" s="35" t="s">
        <v>322</v>
      </c>
      <c r="G818" s="7"/>
      <c r="H818" s="7"/>
      <c r="I818" s="12"/>
    </row>
    <row r="819" spans="1:9" ht="38.25" x14ac:dyDescent="0.2">
      <c r="A819" s="35" t="str">
        <f>HYPERLINK("https://mississippidhs.jamacloud.com/perspective.req?projectId=53&amp;docId=28744","LSRP-SHRQ-811")</f>
        <v>LSRP-SHRQ-811</v>
      </c>
      <c r="B819" s="8" t="s">
        <v>1173</v>
      </c>
      <c r="C819" s="35" t="s">
        <v>319</v>
      </c>
      <c r="D819" s="36" t="s">
        <v>31</v>
      </c>
      <c r="E819" s="37" t="s">
        <v>779</v>
      </c>
      <c r="F819" s="35" t="s">
        <v>322</v>
      </c>
      <c r="G819" s="7"/>
      <c r="H819" s="7"/>
      <c r="I819" s="12"/>
    </row>
    <row r="820" spans="1:9" ht="38.25" x14ac:dyDescent="0.2">
      <c r="A820" s="35" t="str">
        <f>HYPERLINK("https://mississippidhs.jamacloud.com/perspective.req?projectId=53&amp;docId=28745","LSRP-SHRQ-812")</f>
        <v>LSRP-SHRQ-812</v>
      </c>
      <c r="B820" s="8" t="s">
        <v>1174</v>
      </c>
      <c r="C820" s="35" t="s">
        <v>319</v>
      </c>
      <c r="D820" s="36" t="s">
        <v>31</v>
      </c>
      <c r="E820" s="37" t="s">
        <v>779</v>
      </c>
      <c r="F820" s="35" t="s">
        <v>322</v>
      </c>
      <c r="G820" s="7"/>
      <c r="H820" s="7"/>
      <c r="I820" s="12"/>
    </row>
    <row r="821" spans="1:9" ht="51" x14ac:dyDescent="0.2">
      <c r="A821" s="35" t="str">
        <f>HYPERLINK("https://mississippidhs.jamacloud.com/perspective.req?projectId=53&amp;docId=28746","LSRP-SHRQ-813")</f>
        <v>LSRP-SHRQ-813</v>
      </c>
      <c r="B821" s="8" t="s">
        <v>1175</v>
      </c>
      <c r="C821" s="35" t="s">
        <v>319</v>
      </c>
      <c r="D821" s="36" t="s">
        <v>31</v>
      </c>
      <c r="E821" s="37" t="s">
        <v>779</v>
      </c>
      <c r="F821" s="35" t="s">
        <v>322</v>
      </c>
      <c r="G821" s="7"/>
      <c r="H821" s="7"/>
      <c r="I821" s="12"/>
    </row>
    <row r="822" spans="1:9" ht="51" x14ac:dyDescent="0.2">
      <c r="A822" s="35" t="str">
        <f>HYPERLINK("https://mississippidhs.jamacloud.com/perspective.req?projectId=53&amp;docId=28747","LSRP-SHRQ-814")</f>
        <v>LSRP-SHRQ-814</v>
      </c>
      <c r="B822" s="8" t="s">
        <v>1176</v>
      </c>
      <c r="C822" s="35" t="s">
        <v>319</v>
      </c>
      <c r="D822" s="36" t="s">
        <v>31</v>
      </c>
      <c r="E822" s="37" t="s">
        <v>779</v>
      </c>
      <c r="F822" s="35" t="s">
        <v>322</v>
      </c>
      <c r="G822" s="7"/>
      <c r="H822" s="7"/>
      <c r="I822" s="12"/>
    </row>
    <row r="823" spans="1:9" ht="25.5" x14ac:dyDescent="0.2">
      <c r="A823" s="35" t="str">
        <f>HYPERLINK("https://mississippidhs.jamacloud.com/perspective.req?projectId=53&amp;docId=28748","LSRP-SHRQ-815")</f>
        <v>LSRP-SHRQ-815</v>
      </c>
      <c r="B823" s="8" t="s">
        <v>1177</v>
      </c>
      <c r="C823" s="35" t="s">
        <v>319</v>
      </c>
      <c r="D823" s="36" t="s">
        <v>31</v>
      </c>
      <c r="E823" s="37" t="s">
        <v>779</v>
      </c>
      <c r="F823" s="35" t="s">
        <v>322</v>
      </c>
      <c r="G823" s="7"/>
      <c r="H823" s="7"/>
      <c r="I823" s="12"/>
    </row>
    <row r="824" spans="1:9" ht="38.25" x14ac:dyDescent="0.2">
      <c r="A824" s="35" t="str">
        <f>HYPERLINK("https://mississippidhs.jamacloud.com/perspective.req?projectId=53&amp;docId=28749","LSRP-SHRQ-816")</f>
        <v>LSRP-SHRQ-816</v>
      </c>
      <c r="B824" s="8" t="s">
        <v>1178</v>
      </c>
      <c r="C824" s="35" t="s">
        <v>319</v>
      </c>
      <c r="D824" s="36" t="s">
        <v>31</v>
      </c>
      <c r="E824" s="37" t="s">
        <v>779</v>
      </c>
      <c r="F824" s="35" t="s">
        <v>394</v>
      </c>
      <c r="G824" s="7"/>
      <c r="H824" s="7"/>
      <c r="I824" s="12"/>
    </row>
    <row r="825" spans="1:9" ht="25.5" x14ac:dyDescent="0.2">
      <c r="A825" s="35" t="str">
        <f>HYPERLINK("https://mississippidhs.jamacloud.com/perspective.req?projectId=53&amp;docId=28750","LSRP-SHRQ-817")</f>
        <v>LSRP-SHRQ-817</v>
      </c>
      <c r="B825" s="8" t="s">
        <v>1179</v>
      </c>
      <c r="C825" s="35" t="s">
        <v>319</v>
      </c>
      <c r="D825" s="36" t="s">
        <v>31</v>
      </c>
      <c r="E825" s="37" t="s">
        <v>779</v>
      </c>
      <c r="F825" s="35" t="s">
        <v>394</v>
      </c>
      <c r="G825" s="7"/>
      <c r="H825" s="7"/>
      <c r="I825" s="12"/>
    </row>
    <row r="826" spans="1:9" ht="76.5" x14ac:dyDescent="0.2">
      <c r="A826" s="35" t="str">
        <f>HYPERLINK("https://mississippidhs.jamacloud.com/perspective.req?projectId=53&amp;docId=28751","LSRP-SHRQ-818")</f>
        <v>LSRP-SHRQ-818</v>
      </c>
      <c r="B826" s="8" t="s">
        <v>1180</v>
      </c>
      <c r="C826" s="35" t="s">
        <v>319</v>
      </c>
      <c r="D826" s="36" t="s">
        <v>31</v>
      </c>
      <c r="E826" s="37" t="s">
        <v>779</v>
      </c>
      <c r="F826" s="35" t="s">
        <v>322</v>
      </c>
      <c r="G826" s="7"/>
      <c r="H826" s="7"/>
      <c r="I826" s="12"/>
    </row>
    <row r="827" spans="1:9" ht="25.5" x14ac:dyDescent="0.2">
      <c r="A827" s="35" t="str">
        <f>HYPERLINK("https://mississippidhs.jamacloud.com/perspective.req?projectId=53&amp;docId=28752","LSRP-SHRQ-819")</f>
        <v>LSRP-SHRQ-819</v>
      </c>
      <c r="B827" s="8" t="s">
        <v>1181</v>
      </c>
      <c r="C827" s="35" t="s">
        <v>319</v>
      </c>
      <c r="D827" s="36" t="s">
        <v>31</v>
      </c>
      <c r="E827" s="37" t="s">
        <v>779</v>
      </c>
      <c r="F827" s="35" t="s">
        <v>322</v>
      </c>
      <c r="G827" s="7"/>
      <c r="H827" s="7"/>
      <c r="I827" s="12"/>
    </row>
    <row r="828" spans="1:9" ht="25.5" x14ac:dyDescent="0.2">
      <c r="A828" s="35" t="str">
        <f>HYPERLINK("https://mississippidhs.jamacloud.com/perspective.req?projectId=53&amp;docId=28753","LSRP-SHRQ-820")</f>
        <v>LSRP-SHRQ-820</v>
      </c>
      <c r="B828" s="8" t="s">
        <v>1182</v>
      </c>
      <c r="C828" s="35" t="s">
        <v>319</v>
      </c>
      <c r="D828" s="36" t="s">
        <v>31</v>
      </c>
      <c r="E828" s="37" t="s">
        <v>779</v>
      </c>
      <c r="F828" s="35" t="s">
        <v>322</v>
      </c>
      <c r="G828" s="7"/>
      <c r="H828" s="7"/>
      <c r="I828" s="12"/>
    </row>
    <row r="829" spans="1:9" ht="38.25" x14ac:dyDescent="0.2">
      <c r="A829" s="35" t="str">
        <f>HYPERLINK("https://mississippidhs.jamacloud.com/perspective.req?projectId=53&amp;docId=28754","LSRP-SHRQ-821")</f>
        <v>LSRP-SHRQ-821</v>
      </c>
      <c r="B829" s="8" t="s">
        <v>1183</v>
      </c>
      <c r="C829" s="35" t="s">
        <v>319</v>
      </c>
      <c r="D829" s="36" t="s">
        <v>31</v>
      </c>
      <c r="E829" s="37" t="s">
        <v>779</v>
      </c>
      <c r="F829" s="35" t="s">
        <v>322</v>
      </c>
      <c r="G829" s="7"/>
      <c r="H829" s="7"/>
      <c r="I829" s="12"/>
    </row>
    <row r="830" spans="1:9" ht="25.5" x14ac:dyDescent="0.2">
      <c r="A830" s="35" t="str">
        <f>HYPERLINK("https://mississippidhs.jamacloud.com/perspective.req?projectId=53&amp;docId=28755","LSRP-SHRQ-822")</f>
        <v>LSRP-SHRQ-822</v>
      </c>
      <c r="B830" s="8" t="s">
        <v>1184</v>
      </c>
      <c r="C830" s="35" t="s">
        <v>319</v>
      </c>
      <c r="D830" s="36" t="s">
        <v>31</v>
      </c>
      <c r="E830" s="37" t="s">
        <v>779</v>
      </c>
      <c r="F830" s="35" t="s">
        <v>322</v>
      </c>
      <c r="G830" s="7"/>
      <c r="H830" s="7"/>
      <c r="I830" s="12"/>
    </row>
    <row r="831" spans="1:9" ht="25.5" x14ac:dyDescent="0.2">
      <c r="A831" s="35" t="str">
        <f>HYPERLINK("https://mississippidhs.jamacloud.com/perspective.req?projectId=53&amp;docId=28756","LSRP-SHRQ-823")</f>
        <v>LSRP-SHRQ-823</v>
      </c>
      <c r="B831" s="8" t="s">
        <v>1185</v>
      </c>
      <c r="C831" s="35" t="s">
        <v>319</v>
      </c>
      <c r="D831" s="36" t="s">
        <v>31</v>
      </c>
      <c r="E831" s="37" t="s">
        <v>779</v>
      </c>
      <c r="F831" s="35" t="s">
        <v>322</v>
      </c>
      <c r="G831" s="7"/>
      <c r="H831" s="7"/>
      <c r="I831" s="12"/>
    </row>
    <row r="832" spans="1:9" ht="14.25" x14ac:dyDescent="0.2">
      <c r="A832" s="35" t="str">
        <f>HYPERLINK("https://mississippidhs.jamacloud.com/perspective.req?projectId=53&amp;docId=28757","LSRP-SHRQ-824")</f>
        <v>LSRP-SHRQ-824</v>
      </c>
      <c r="B832" s="8" t="s">
        <v>1186</v>
      </c>
      <c r="C832" s="35" t="s">
        <v>319</v>
      </c>
      <c r="D832" s="36" t="s">
        <v>31</v>
      </c>
      <c r="E832" s="37" t="s">
        <v>779</v>
      </c>
      <c r="F832" s="35" t="s">
        <v>322</v>
      </c>
      <c r="G832" s="7"/>
      <c r="H832" s="7"/>
      <c r="I832" s="12"/>
    </row>
    <row r="833" spans="1:9" ht="14.25" x14ac:dyDescent="0.2">
      <c r="A833" s="35" t="str">
        <f>HYPERLINK("https://mississippidhs.jamacloud.com/perspective.req?projectId=53&amp;docId=28758","LSRP-SHRQ-825")</f>
        <v>LSRP-SHRQ-825</v>
      </c>
      <c r="B833" s="8" t="s">
        <v>1187</v>
      </c>
      <c r="C833" s="35" t="s">
        <v>319</v>
      </c>
      <c r="D833" s="36" t="s">
        <v>31</v>
      </c>
      <c r="E833" s="37" t="s">
        <v>779</v>
      </c>
      <c r="F833" s="35" t="s">
        <v>322</v>
      </c>
      <c r="G833" s="7"/>
      <c r="H833" s="7"/>
      <c r="I833" s="12"/>
    </row>
    <row r="834" spans="1:9" ht="14.25" x14ac:dyDescent="0.2">
      <c r="A834" s="35" t="str">
        <f>HYPERLINK("https://mississippidhs.jamacloud.com/perspective.req?projectId=53&amp;docId=28759","LSRP-SHRQ-826")</f>
        <v>LSRP-SHRQ-826</v>
      </c>
      <c r="B834" s="8" t="s">
        <v>519</v>
      </c>
      <c r="C834" s="35" t="s">
        <v>319</v>
      </c>
      <c r="D834" s="36" t="s">
        <v>31</v>
      </c>
      <c r="E834" s="37" t="s">
        <v>779</v>
      </c>
      <c r="F834" s="35" t="s">
        <v>322</v>
      </c>
      <c r="G834" s="7"/>
      <c r="H834" s="7"/>
      <c r="I834" s="12"/>
    </row>
    <row r="835" spans="1:9" ht="14.25" x14ac:dyDescent="0.2">
      <c r="A835" s="35" t="str">
        <f>HYPERLINK("https://mississippidhs.jamacloud.com/perspective.req?projectId=53&amp;docId=28760","LSRP-SHRQ-827")</f>
        <v>LSRP-SHRQ-827</v>
      </c>
      <c r="B835" s="8" t="s">
        <v>1188</v>
      </c>
      <c r="C835" s="35" t="s">
        <v>319</v>
      </c>
      <c r="D835" s="36" t="s">
        <v>31</v>
      </c>
      <c r="E835" s="37" t="s">
        <v>779</v>
      </c>
      <c r="F835" s="35" t="s">
        <v>322</v>
      </c>
      <c r="G835" s="7"/>
      <c r="H835" s="7"/>
      <c r="I835" s="12"/>
    </row>
    <row r="836" spans="1:9" ht="38.25" x14ac:dyDescent="0.2">
      <c r="A836" s="35" t="str">
        <f>HYPERLINK("https://mississippidhs.jamacloud.com/perspective.req?projectId=53&amp;docId=28761","LSRP-SHRQ-828")</f>
        <v>LSRP-SHRQ-828</v>
      </c>
      <c r="B836" s="8" t="s">
        <v>1189</v>
      </c>
      <c r="C836" s="35" t="s">
        <v>319</v>
      </c>
      <c r="D836" s="36" t="s">
        <v>31</v>
      </c>
      <c r="E836" s="37" t="s">
        <v>779</v>
      </c>
      <c r="F836" s="35" t="s">
        <v>322</v>
      </c>
      <c r="G836" s="7"/>
      <c r="H836" s="7"/>
      <c r="I836" s="12"/>
    </row>
    <row r="837" spans="1:9" ht="51" x14ac:dyDescent="0.2">
      <c r="A837" s="35" t="str">
        <f>HYPERLINK("https://mississippidhs.jamacloud.com/perspective.req?projectId=53&amp;docId=28762","LSRP-SHRQ-829")</f>
        <v>LSRP-SHRQ-829</v>
      </c>
      <c r="B837" s="8" t="s">
        <v>1190</v>
      </c>
      <c r="C837" s="35" t="s">
        <v>319</v>
      </c>
      <c r="D837" s="36" t="s">
        <v>31</v>
      </c>
      <c r="E837" s="37" t="s">
        <v>779</v>
      </c>
      <c r="F837" s="35" t="s">
        <v>322</v>
      </c>
      <c r="G837" s="7"/>
      <c r="H837" s="7"/>
      <c r="I837" s="12"/>
    </row>
    <row r="838" spans="1:9" ht="25.5" x14ac:dyDescent="0.2">
      <c r="A838" s="35" t="str">
        <f>HYPERLINK("https://mississippidhs.jamacloud.com/perspective.req?projectId=53&amp;docId=28763","LSRP-SHRQ-830")</f>
        <v>LSRP-SHRQ-830</v>
      </c>
      <c r="B838" s="8" t="s">
        <v>1191</v>
      </c>
      <c r="C838" s="35" t="s">
        <v>319</v>
      </c>
      <c r="D838" s="36" t="s">
        <v>31</v>
      </c>
      <c r="E838" s="37" t="s">
        <v>779</v>
      </c>
      <c r="F838" s="35" t="s">
        <v>322</v>
      </c>
      <c r="G838" s="7"/>
      <c r="H838" s="7"/>
      <c r="I838" s="12"/>
    </row>
    <row r="839" spans="1:9" ht="38.25" x14ac:dyDescent="0.2">
      <c r="A839" s="35" t="str">
        <f>HYPERLINK("https://mississippidhs.jamacloud.com/perspective.req?projectId=53&amp;docId=28764","LSRP-SHRQ-831")</f>
        <v>LSRP-SHRQ-831</v>
      </c>
      <c r="B839" s="8" t="s">
        <v>1192</v>
      </c>
      <c r="C839" s="35" t="s">
        <v>319</v>
      </c>
      <c r="D839" s="36" t="s">
        <v>31</v>
      </c>
      <c r="E839" s="37" t="s">
        <v>779</v>
      </c>
      <c r="F839" s="35" t="s">
        <v>322</v>
      </c>
      <c r="G839" s="7"/>
      <c r="H839" s="7"/>
      <c r="I839" s="12"/>
    </row>
    <row r="840" spans="1:9" ht="25.5" x14ac:dyDescent="0.2">
      <c r="A840" s="35" t="str">
        <f>HYPERLINK("https://mississippidhs.jamacloud.com/perspective.req?projectId=53&amp;docId=28765","LSRP-SHRQ-832")</f>
        <v>LSRP-SHRQ-832</v>
      </c>
      <c r="B840" s="8" t="s">
        <v>1193</v>
      </c>
      <c r="C840" s="35" t="s">
        <v>319</v>
      </c>
      <c r="D840" s="36" t="s">
        <v>31</v>
      </c>
      <c r="E840" s="37" t="s">
        <v>779</v>
      </c>
      <c r="F840" s="35" t="s">
        <v>322</v>
      </c>
      <c r="G840" s="7"/>
      <c r="H840" s="7"/>
      <c r="I840" s="12"/>
    </row>
    <row r="841" spans="1:9" ht="25.5" x14ac:dyDescent="0.2">
      <c r="A841" s="35" t="str">
        <f>HYPERLINK("https://mississippidhs.jamacloud.com/perspective.req?projectId=53&amp;docId=28766","LSRP-SHRQ-833")</f>
        <v>LSRP-SHRQ-833</v>
      </c>
      <c r="B841" s="8" t="s">
        <v>1194</v>
      </c>
      <c r="C841" s="35" t="s">
        <v>319</v>
      </c>
      <c r="D841" s="36" t="s">
        <v>31</v>
      </c>
      <c r="E841" s="37" t="s">
        <v>779</v>
      </c>
      <c r="F841" s="35" t="s">
        <v>322</v>
      </c>
      <c r="G841" s="7"/>
      <c r="H841" s="7"/>
      <c r="I841" s="12"/>
    </row>
    <row r="842" spans="1:9" ht="63.75" x14ac:dyDescent="0.2">
      <c r="A842" s="35" t="str">
        <f>HYPERLINK("https://mississippidhs.jamacloud.com/perspective.req?projectId=53&amp;docId=28767","LSRP-SHRQ-834")</f>
        <v>LSRP-SHRQ-834</v>
      </c>
      <c r="B842" s="8" t="s">
        <v>1195</v>
      </c>
      <c r="C842" s="35" t="s">
        <v>319</v>
      </c>
      <c r="D842" s="36" t="s">
        <v>31</v>
      </c>
      <c r="E842" s="37" t="s">
        <v>779</v>
      </c>
      <c r="F842" s="35" t="s">
        <v>322</v>
      </c>
      <c r="G842" s="7"/>
      <c r="H842" s="7"/>
      <c r="I842" s="12"/>
    </row>
    <row r="843" spans="1:9" ht="38.25" x14ac:dyDescent="0.2">
      <c r="A843" s="35" t="str">
        <f>HYPERLINK("https://mississippidhs.jamacloud.com/perspective.req?projectId=53&amp;docId=28768","LSRP-SHRQ-835")</f>
        <v>LSRP-SHRQ-835</v>
      </c>
      <c r="B843" s="8" t="s">
        <v>1196</v>
      </c>
      <c r="C843" s="35" t="s">
        <v>319</v>
      </c>
      <c r="D843" s="36" t="s">
        <v>31</v>
      </c>
      <c r="E843" s="37" t="s">
        <v>779</v>
      </c>
      <c r="F843" s="35" t="s">
        <v>322</v>
      </c>
      <c r="G843" s="7"/>
      <c r="H843" s="7"/>
      <c r="I843" s="12"/>
    </row>
    <row r="844" spans="1:9" ht="38.25" x14ac:dyDescent="0.2">
      <c r="A844" s="35" t="str">
        <f>HYPERLINK("https://mississippidhs.jamacloud.com/perspective.req?projectId=53&amp;docId=28769","LSRP-SHRQ-836")</f>
        <v>LSRP-SHRQ-836</v>
      </c>
      <c r="B844" s="8" t="s">
        <v>1197</v>
      </c>
      <c r="C844" s="35" t="s">
        <v>319</v>
      </c>
      <c r="D844" s="36" t="s">
        <v>31</v>
      </c>
      <c r="E844" s="37" t="s">
        <v>779</v>
      </c>
      <c r="F844" s="35" t="s">
        <v>322</v>
      </c>
      <c r="G844" s="7"/>
      <c r="H844" s="7"/>
      <c r="I844" s="12"/>
    </row>
    <row r="845" spans="1:9" ht="25.5" x14ac:dyDescent="0.2">
      <c r="A845" s="35" t="str">
        <f>HYPERLINK("https://mississippidhs.jamacloud.com/perspective.req?projectId=53&amp;docId=28770","LSRP-SHRQ-837")</f>
        <v>LSRP-SHRQ-837</v>
      </c>
      <c r="B845" s="8" t="s">
        <v>1198</v>
      </c>
      <c r="C845" s="35" t="s">
        <v>319</v>
      </c>
      <c r="D845" s="36" t="s">
        <v>31</v>
      </c>
      <c r="E845" s="37" t="s">
        <v>779</v>
      </c>
      <c r="F845" s="35" t="s">
        <v>322</v>
      </c>
      <c r="G845" s="7"/>
      <c r="H845" s="7"/>
      <c r="I845" s="12"/>
    </row>
    <row r="846" spans="1:9" ht="25.5" x14ac:dyDescent="0.2">
      <c r="A846" s="35" t="str">
        <f>HYPERLINK("https://mississippidhs.jamacloud.com/perspective.req?projectId=53&amp;docId=28771","LSRP-SHRQ-838")</f>
        <v>LSRP-SHRQ-838</v>
      </c>
      <c r="B846" s="8" t="s">
        <v>1199</v>
      </c>
      <c r="C846" s="35" t="s">
        <v>319</v>
      </c>
      <c r="D846" s="36" t="s">
        <v>31</v>
      </c>
      <c r="E846" s="37" t="s">
        <v>779</v>
      </c>
      <c r="F846" s="35" t="s">
        <v>322</v>
      </c>
      <c r="G846" s="7"/>
      <c r="H846" s="7"/>
      <c r="I846" s="12"/>
    </row>
    <row r="847" spans="1:9" ht="38.25" x14ac:dyDescent="0.2">
      <c r="A847" s="35" t="str">
        <f>HYPERLINK("https://mississippidhs.jamacloud.com/perspective.req?projectId=53&amp;docId=28772","LSRP-SHRQ-839")</f>
        <v>LSRP-SHRQ-839</v>
      </c>
      <c r="B847" s="8" t="s">
        <v>1200</v>
      </c>
      <c r="C847" s="35" t="s">
        <v>319</v>
      </c>
      <c r="D847" s="36" t="s">
        <v>31</v>
      </c>
      <c r="E847" s="37" t="s">
        <v>779</v>
      </c>
      <c r="F847" s="35" t="s">
        <v>322</v>
      </c>
      <c r="G847" s="7"/>
      <c r="H847" s="7"/>
      <c r="I847" s="12"/>
    </row>
    <row r="848" spans="1:9" ht="25.5" x14ac:dyDescent="0.2">
      <c r="A848" s="35" t="str">
        <f>HYPERLINK("https://mississippidhs.jamacloud.com/perspective.req?projectId=53&amp;docId=28773","LSRP-SHRQ-840")</f>
        <v>LSRP-SHRQ-840</v>
      </c>
      <c r="B848" s="8" t="s">
        <v>1201</v>
      </c>
      <c r="C848" s="35" t="s">
        <v>319</v>
      </c>
      <c r="D848" s="36" t="s">
        <v>31</v>
      </c>
      <c r="E848" s="37" t="s">
        <v>779</v>
      </c>
      <c r="F848" s="35" t="s">
        <v>322</v>
      </c>
      <c r="G848" s="7"/>
      <c r="H848" s="7"/>
      <c r="I848" s="12"/>
    </row>
    <row r="849" spans="1:9" ht="25.5" x14ac:dyDescent="0.2">
      <c r="A849" s="35" t="str">
        <f>HYPERLINK("https://mississippidhs.jamacloud.com/perspective.req?projectId=53&amp;docId=28774","LSRP-SHRQ-841")</f>
        <v>LSRP-SHRQ-841</v>
      </c>
      <c r="B849" s="8" t="s">
        <v>1202</v>
      </c>
      <c r="C849" s="35" t="s">
        <v>319</v>
      </c>
      <c r="D849" s="36" t="s">
        <v>31</v>
      </c>
      <c r="E849" s="37" t="s">
        <v>779</v>
      </c>
      <c r="F849" s="35" t="s">
        <v>322</v>
      </c>
      <c r="G849" s="7"/>
      <c r="H849" s="7"/>
      <c r="I849" s="12"/>
    </row>
    <row r="850" spans="1:9" ht="51" x14ac:dyDescent="0.2">
      <c r="A850" s="35" t="str">
        <f>HYPERLINK("https://mississippidhs.jamacloud.com/perspective.req?projectId=53&amp;docId=28775","LSRP-SHRQ-842")</f>
        <v>LSRP-SHRQ-842</v>
      </c>
      <c r="B850" s="8" t="s">
        <v>1203</v>
      </c>
      <c r="C850" s="35" t="s">
        <v>319</v>
      </c>
      <c r="D850" s="36" t="s">
        <v>31</v>
      </c>
      <c r="E850" s="37" t="s">
        <v>779</v>
      </c>
      <c r="F850" s="35" t="s">
        <v>322</v>
      </c>
      <c r="G850" s="7"/>
      <c r="H850" s="7"/>
      <c r="I850" s="12"/>
    </row>
    <row r="851" spans="1:9" ht="38.25" x14ac:dyDescent="0.2">
      <c r="A851" s="35" t="str">
        <f>HYPERLINK("https://mississippidhs.jamacloud.com/perspective.req?projectId=53&amp;docId=28776","LSRP-SHRQ-843")</f>
        <v>LSRP-SHRQ-843</v>
      </c>
      <c r="B851" s="8" t="s">
        <v>1204</v>
      </c>
      <c r="C851" s="35" t="s">
        <v>319</v>
      </c>
      <c r="D851" s="36" t="s">
        <v>31</v>
      </c>
      <c r="E851" s="37" t="s">
        <v>779</v>
      </c>
      <c r="F851" s="35" t="s">
        <v>322</v>
      </c>
      <c r="G851" s="7"/>
      <c r="H851" s="7"/>
      <c r="I851" s="12"/>
    </row>
    <row r="852" spans="1:9" ht="25.5" x14ac:dyDescent="0.2">
      <c r="A852" s="35" t="str">
        <f>HYPERLINK("https://mississippidhs.jamacloud.com/perspective.req?projectId=53&amp;docId=28777","LSRP-SHRQ-844")</f>
        <v>LSRP-SHRQ-844</v>
      </c>
      <c r="B852" s="8" t="s">
        <v>1205</v>
      </c>
      <c r="C852" s="35" t="s">
        <v>319</v>
      </c>
      <c r="D852" s="36" t="s">
        <v>31</v>
      </c>
      <c r="E852" s="37" t="s">
        <v>779</v>
      </c>
      <c r="F852" s="35" t="s">
        <v>322</v>
      </c>
      <c r="G852" s="7"/>
      <c r="H852" s="7"/>
      <c r="I852" s="12"/>
    </row>
    <row r="853" spans="1:9" ht="25.5" x14ac:dyDescent="0.2">
      <c r="A853" s="35" t="str">
        <f>HYPERLINK("https://mississippidhs.jamacloud.com/perspective.req?projectId=53&amp;docId=28778","LSRP-SHRQ-845")</f>
        <v>LSRP-SHRQ-845</v>
      </c>
      <c r="B853" s="8" t="s">
        <v>1206</v>
      </c>
      <c r="C853" s="35" t="s">
        <v>319</v>
      </c>
      <c r="D853" s="36" t="s">
        <v>31</v>
      </c>
      <c r="E853" s="37" t="s">
        <v>779</v>
      </c>
      <c r="F853" s="35" t="s">
        <v>322</v>
      </c>
      <c r="G853" s="7"/>
      <c r="H853" s="7"/>
      <c r="I853" s="12"/>
    </row>
    <row r="854" spans="1:9" ht="89.25" x14ac:dyDescent="0.2">
      <c r="A854" s="35" t="str">
        <f>HYPERLINK("https://mississippidhs.jamacloud.com/perspective.req?projectId=53&amp;docId=28779","LSRP-SHRQ-846")</f>
        <v>LSRP-SHRQ-846</v>
      </c>
      <c r="B854" s="8" t="s">
        <v>1207</v>
      </c>
      <c r="C854" s="35" t="s">
        <v>319</v>
      </c>
      <c r="D854" s="36" t="s">
        <v>31</v>
      </c>
      <c r="E854" s="37" t="s">
        <v>779</v>
      </c>
      <c r="F854" s="35" t="s">
        <v>322</v>
      </c>
      <c r="G854" s="7"/>
      <c r="H854" s="7"/>
      <c r="I854" s="12"/>
    </row>
    <row r="855" spans="1:9" ht="38.25" x14ac:dyDescent="0.2">
      <c r="A855" s="35" t="str">
        <f>HYPERLINK("https://mississippidhs.jamacloud.com/perspective.req?projectId=53&amp;docId=28780","LSRP-SHRQ-847")</f>
        <v>LSRP-SHRQ-847</v>
      </c>
      <c r="B855" s="8" t="s">
        <v>1208</v>
      </c>
      <c r="C855" s="35" t="s">
        <v>319</v>
      </c>
      <c r="D855" s="36" t="s">
        <v>31</v>
      </c>
      <c r="E855" s="37" t="s">
        <v>779</v>
      </c>
      <c r="F855" s="35" t="s">
        <v>322</v>
      </c>
      <c r="G855" s="7"/>
      <c r="H855" s="7"/>
      <c r="I855" s="12"/>
    </row>
    <row r="856" spans="1:9" ht="25.5" x14ac:dyDescent="0.2">
      <c r="A856" s="35" t="str">
        <f>HYPERLINK("https://mississippidhs.jamacloud.com/perspective.req?projectId=53&amp;docId=28781","LSRP-SHRQ-848")</f>
        <v>LSRP-SHRQ-848</v>
      </c>
      <c r="B856" s="8" t="s">
        <v>1209</v>
      </c>
      <c r="C856" s="35" t="s">
        <v>319</v>
      </c>
      <c r="D856" s="36" t="s">
        <v>31</v>
      </c>
      <c r="E856" s="37" t="s">
        <v>779</v>
      </c>
      <c r="F856" s="35" t="s">
        <v>322</v>
      </c>
      <c r="G856" s="7"/>
      <c r="H856" s="7"/>
      <c r="I856" s="12"/>
    </row>
    <row r="857" spans="1:9" ht="25.5" x14ac:dyDescent="0.2">
      <c r="A857" s="35" t="str">
        <f>HYPERLINK("https://mississippidhs.jamacloud.com/perspective.req?projectId=53&amp;docId=28782","LSRP-SHRQ-849")</f>
        <v>LSRP-SHRQ-849</v>
      </c>
      <c r="B857" s="8" t="s">
        <v>1210</v>
      </c>
      <c r="C857" s="35" t="s">
        <v>319</v>
      </c>
      <c r="D857" s="36" t="s">
        <v>31</v>
      </c>
      <c r="E857" s="37" t="s">
        <v>779</v>
      </c>
      <c r="F857" s="35" t="s">
        <v>322</v>
      </c>
      <c r="G857" s="7"/>
      <c r="H857" s="7"/>
      <c r="I857" s="12"/>
    </row>
    <row r="858" spans="1:9" ht="25.5" x14ac:dyDescent="0.2">
      <c r="A858" s="35" t="str">
        <f>HYPERLINK("https://mississippidhs.jamacloud.com/perspective.req?projectId=53&amp;docId=28783","LSRP-SHRQ-850")</f>
        <v>LSRP-SHRQ-850</v>
      </c>
      <c r="B858" s="8" t="s">
        <v>1211</v>
      </c>
      <c r="C858" s="35" t="s">
        <v>319</v>
      </c>
      <c r="D858" s="36" t="s">
        <v>31</v>
      </c>
      <c r="E858" s="37" t="s">
        <v>779</v>
      </c>
      <c r="F858" s="35" t="s">
        <v>322</v>
      </c>
      <c r="G858" s="7"/>
      <c r="H858" s="7"/>
      <c r="I858" s="12"/>
    </row>
    <row r="859" spans="1:9" ht="38.25" x14ac:dyDescent="0.2">
      <c r="A859" s="35" t="str">
        <f>HYPERLINK("https://mississippidhs.jamacloud.com/perspective.req?projectId=53&amp;docId=28784","LSRP-SHRQ-851")</f>
        <v>LSRP-SHRQ-851</v>
      </c>
      <c r="B859" s="8" t="s">
        <v>1212</v>
      </c>
      <c r="C859" s="35" t="s">
        <v>319</v>
      </c>
      <c r="D859" s="36" t="s">
        <v>31</v>
      </c>
      <c r="E859" s="37" t="s">
        <v>779</v>
      </c>
      <c r="F859" s="35" t="s">
        <v>322</v>
      </c>
      <c r="G859" s="7"/>
      <c r="H859" s="7"/>
      <c r="I859" s="12"/>
    </row>
    <row r="860" spans="1:9" ht="25.5" x14ac:dyDescent="0.2">
      <c r="A860" s="35" t="str">
        <f>HYPERLINK("https://mississippidhs.jamacloud.com/perspective.req?projectId=53&amp;docId=28785","LSRP-SHRQ-852")</f>
        <v>LSRP-SHRQ-852</v>
      </c>
      <c r="B860" s="8" t="s">
        <v>1213</v>
      </c>
      <c r="C860" s="35" t="s">
        <v>319</v>
      </c>
      <c r="D860" s="36" t="s">
        <v>31</v>
      </c>
      <c r="E860" s="37" t="s">
        <v>779</v>
      </c>
      <c r="F860" s="35" t="s">
        <v>322</v>
      </c>
      <c r="G860" s="7"/>
      <c r="H860" s="7"/>
      <c r="I860" s="12"/>
    </row>
    <row r="861" spans="1:9" ht="153" x14ac:dyDescent="0.2">
      <c r="A861" s="35" t="str">
        <f>HYPERLINK("https://mississippidhs.jamacloud.com/perspective.req?projectId=53&amp;docId=28786","LSRP-SHRQ-853")</f>
        <v>LSRP-SHRQ-853</v>
      </c>
      <c r="B861" s="8" t="s">
        <v>1214</v>
      </c>
      <c r="C861" s="35" t="s">
        <v>319</v>
      </c>
      <c r="D861" s="36" t="s">
        <v>31</v>
      </c>
      <c r="E861" s="37" t="s">
        <v>779</v>
      </c>
      <c r="F861" s="35" t="s">
        <v>322</v>
      </c>
      <c r="G861" s="7"/>
      <c r="H861" s="7"/>
      <c r="I861" s="12"/>
    </row>
    <row r="862" spans="1:9" ht="38.25" x14ac:dyDescent="0.2">
      <c r="A862" s="35" t="str">
        <f>HYPERLINK("https://mississippidhs.jamacloud.com/perspective.req?projectId=53&amp;docId=28787","LSRP-SHRQ-854")</f>
        <v>LSRP-SHRQ-854</v>
      </c>
      <c r="B862" s="8" t="s">
        <v>1215</v>
      </c>
      <c r="C862" s="35" t="s">
        <v>319</v>
      </c>
      <c r="D862" s="36" t="s">
        <v>31</v>
      </c>
      <c r="E862" s="37" t="s">
        <v>779</v>
      </c>
      <c r="F862" s="35" t="s">
        <v>322</v>
      </c>
      <c r="G862" s="7"/>
      <c r="H862" s="7"/>
      <c r="I862" s="12"/>
    </row>
    <row r="863" spans="1:9" ht="25.5" x14ac:dyDescent="0.2">
      <c r="A863" s="35" t="str">
        <f>HYPERLINK("https://mississippidhs.jamacloud.com/perspective.req?projectId=53&amp;docId=28788","LSRP-SHRQ-855")</f>
        <v>LSRP-SHRQ-855</v>
      </c>
      <c r="B863" s="8" t="s">
        <v>1216</v>
      </c>
      <c r="C863" s="35" t="s">
        <v>319</v>
      </c>
      <c r="D863" s="36" t="s">
        <v>31</v>
      </c>
      <c r="E863" s="37" t="s">
        <v>779</v>
      </c>
      <c r="F863" s="35" t="s">
        <v>322</v>
      </c>
      <c r="G863" s="7"/>
      <c r="H863" s="7"/>
      <c r="I863" s="12"/>
    </row>
    <row r="864" spans="1:9" ht="51" x14ac:dyDescent="0.2">
      <c r="A864" s="35" t="str">
        <f>HYPERLINK("https://mississippidhs.jamacloud.com/perspective.req?projectId=53&amp;docId=28789","LSRP-SHRQ-856")</f>
        <v>LSRP-SHRQ-856</v>
      </c>
      <c r="B864" s="8" t="s">
        <v>1217</v>
      </c>
      <c r="C864" s="35" t="s">
        <v>319</v>
      </c>
      <c r="D864" s="36" t="s">
        <v>31</v>
      </c>
      <c r="E864" s="37" t="s">
        <v>779</v>
      </c>
      <c r="F864" s="35" t="s">
        <v>322</v>
      </c>
      <c r="G864" s="7"/>
      <c r="H864" s="7"/>
      <c r="I864" s="12"/>
    </row>
    <row r="865" spans="1:9" ht="25.5" x14ac:dyDescent="0.2">
      <c r="A865" s="35" t="str">
        <f>HYPERLINK("https://mississippidhs.jamacloud.com/perspective.req?projectId=53&amp;docId=28790","LSRP-SHRQ-857")</f>
        <v>LSRP-SHRQ-857</v>
      </c>
      <c r="B865" s="8" t="s">
        <v>1218</v>
      </c>
      <c r="C865" s="35" t="s">
        <v>319</v>
      </c>
      <c r="D865" s="36" t="s">
        <v>31</v>
      </c>
      <c r="E865" s="37" t="s">
        <v>779</v>
      </c>
      <c r="F865" s="35" t="s">
        <v>322</v>
      </c>
      <c r="G865" s="7"/>
      <c r="H865" s="7"/>
      <c r="I865" s="12"/>
    </row>
    <row r="866" spans="1:9" ht="14.25" x14ac:dyDescent="0.2">
      <c r="A866" s="35" t="str">
        <f>HYPERLINK("https://mississippidhs.jamacloud.com/perspective.req?projectId=53&amp;docId=28791","LSRP-SHRQ-858")</f>
        <v>LSRP-SHRQ-858</v>
      </c>
      <c r="B866" s="8" t="s">
        <v>1219</v>
      </c>
      <c r="C866" s="35" t="s">
        <v>319</v>
      </c>
      <c r="D866" s="36" t="s">
        <v>31</v>
      </c>
      <c r="E866" s="37" t="s">
        <v>779</v>
      </c>
      <c r="F866" s="35" t="s">
        <v>322</v>
      </c>
      <c r="G866" s="7"/>
      <c r="H866" s="7"/>
      <c r="I866" s="12"/>
    </row>
    <row r="867" spans="1:9" ht="51" x14ac:dyDescent="0.2">
      <c r="A867" s="35" t="str">
        <f>HYPERLINK("https://mississippidhs.jamacloud.com/perspective.req?projectId=53&amp;docId=28792","LSRP-SHRQ-859")</f>
        <v>LSRP-SHRQ-859</v>
      </c>
      <c r="B867" s="8" t="s">
        <v>1220</v>
      </c>
      <c r="C867" s="35" t="s">
        <v>319</v>
      </c>
      <c r="D867" s="36" t="s">
        <v>31</v>
      </c>
      <c r="E867" s="37" t="s">
        <v>779</v>
      </c>
      <c r="F867" s="35" t="s">
        <v>322</v>
      </c>
      <c r="G867" s="7"/>
      <c r="H867" s="7"/>
      <c r="I867" s="12"/>
    </row>
    <row r="868" spans="1:9" ht="25.5" x14ac:dyDescent="0.2">
      <c r="A868" s="35" t="str">
        <f>HYPERLINK("https://mississippidhs.jamacloud.com/perspective.req?projectId=53&amp;docId=28793","LSRP-SHRQ-860")</f>
        <v>LSRP-SHRQ-860</v>
      </c>
      <c r="B868" s="8" t="s">
        <v>1221</v>
      </c>
      <c r="C868" s="35" t="s">
        <v>319</v>
      </c>
      <c r="D868" s="36" t="s">
        <v>31</v>
      </c>
      <c r="E868" s="37" t="s">
        <v>779</v>
      </c>
      <c r="F868" s="35" t="s">
        <v>322</v>
      </c>
      <c r="G868" s="7"/>
      <c r="H868" s="7"/>
      <c r="I868" s="12"/>
    </row>
    <row r="869" spans="1:9" ht="38.25" x14ac:dyDescent="0.2">
      <c r="A869" s="35" t="str">
        <f>HYPERLINK("https://mississippidhs.jamacloud.com/perspective.req?projectId=53&amp;docId=28794","LSRP-SHRQ-861")</f>
        <v>LSRP-SHRQ-861</v>
      </c>
      <c r="B869" s="8" t="s">
        <v>1222</v>
      </c>
      <c r="C869" s="35" t="s">
        <v>319</v>
      </c>
      <c r="D869" s="36" t="s">
        <v>31</v>
      </c>
      <c r="E869" s="37" t="s">
        <v>779</v>
      </c>
      <c r="F869" s="35" t="s">
        <v>322</v>
      </c>
      <c r="G869" s="7"/>
      <c r="H869" s="7"/>
      <c r="I869" s="12"/>
    </row>
    <row r="870" spans="1:9" ht="38.25" x14ac:dyDescent="0.2">
      <c r="A870" s="35" t="str">
        <f>HYPERLINK("https://mississippidhs.jamacloud.com/perspective.req?projectId=53&amp;docId=28795","LSRP-SHRQ-862")</f>
        <v>LSRP-SHRQ-862</v>
      </c>
      <c r="B870" s="8" t="s">
        <v>1223</v>
      </c>
      <c r="C870" s="35" t="s">
        <v>319</v>
      </c>
      <c r="D870" s="36" t="s">
        <v>31</v>
      </c>
      <c r="E870" s="37" t="s">
        <v>779</v>
      </c>
      <c r="F870" s="35" t="s">
        <v>322</v>
      </c>
      <c r="G870" s="7"/>
      <c r="H870" s="7"/>
      <c r="I870" s="12"/>
    </row>
    <row r="871" spans="1:9" ht="25.5" x14ac:dyDescent="0.2">
      <c r="A871" s="35" t="str">
        <f>HYPERLINK("https://mississippidhs.jamacloud.com/perspective.req?projectId=53&amp;docId=28796","LSRP-SHRQ-863")</f>
        <v>LSRP-SHRQ-863</v>
      </c>
      <c r="B871" s="8" t="s">
        <v>1224</v>
      </c>
      <c r="C871" s="35" t="s">
        <v>319</v>
      </c>
      <c r="D871" s="36" t="s">
        <v>31</v>
      </c>
      <c r="E871" s="37" t="s">
        <v>779</v>
      </c>
      <c r="F871" s="35" t="s">
        <v>322</v>
      </c>
      <c r="G871" s="7"/>
      <c r="H871" s="7"/>
      <c r="I871" s="12"/>
    </row>
    <row r="872" spans="1:9" ht="25.5" x14ac:dyDescent="0.2">
      <c r="A872" s="35" t="str">
        <f>HYPERLINK("https://mississippidhs.jamacloud.com/perspective.req?projectId=53&amp;docId=28797","LSRP-SHRQ-864")</f>
        <v>LSRP-SHRQ-864</v>
      </c>
      <c r="B872" s="8" t="s">
        <v>1225</v>
      </c>
      <c r="C872" s="35" t="s">
        <v>319</v>
      </c>
      <c r="D872" s="36" t="s">
        <v>31</v>
      </c>
      <c r="E872" s="37" t="s">
        <v>779</v>
      </c>
      <c r="F872" s="35" t="s">
        <v>322</v>
      </c>
      <c r="G872" s="7"/>
      <c r="H872" s="7"/>
      <c r="I872" s="12"/>
    </row>
    <row r="873" spans="1:9" ht="38.25" x14ac:dyDescent="0.2">
      <c r="A873" s="35" t="str">
        <f>HYPERLINK("https://mississippidhs.jamacloud.com/perspective.req?projectId=53&amp;docId=28798","LSRP-SHRQ-865")</f>
        <v>LSRP-SHRQ-865</v>
      </c>
      <c r="B873" s="8" t="s">
        <v>1226</v>
      </c>
      <c r="C873" s="35" t="s">
        <v>319</v>
      </c>
      <c r="D873" s="36" t="s">
        <v>31</v>
      </c>
      <c r="E873" s="37" t="s">
        <v>779</v>
      </c>
      <c r="F873" s="35" t="s">
        <v>322</v>
      </c>
      <c r="G873" s="7"/>
      <c r="H873" s="7"/>
      <c r="I873" s="12"/>
    </row>
    <row r="874" spans="1:9" ht="25.5" x14ac:dyDescent="0.2">
      <c r="A874" s="35" t="str">
        <f>HYPERLINK("https://mississippidhs.jamacloud.com/perspective.req?projectId=53&amp;docId=28799","LSRP-SHRQ-866")</f>
        <v>LSRP-SHRQ-866</v>
      </c>
      <c r="B874" s="8" t="s">
        <v>1227</v>
      </c>
      <c r="C874" s="35" t="s">
        <v>319</v>
      </c>
      <c r="D874" s="36" t="s">
        <v>31</v>
      </c>
      <c r="E874" s="37" t="s">
        <v>779</v>
      </c>
      <c r="F874" s="35" t="s">
        <v>322</v>
      </c>
      <c r="G874" s="7"/>
      <c r="H874" s="7"/>
      <c r="I874" s="12"/>
    </row>
    <row r="875" spans="1:9" ht="38.25" x14ac:dyDescent="0.2">
      <c r="A875" s="35" t="str">
        <f>HYPERLINK("https://mississippidhs.jamacloud.com/perspective.req?projectId=53&amp;docId=28800","LSRP-SHRQ-867")</f>
        <v>LSRP-SHRQ-867</v>
      </c>
      <c r="B875" s="8" t="s">
        <v>1228</v>
      </c>
      <c r="C875" s="35" t="s">
        <v>319</v>
      </c>
      <c r="D875" s="36" t="s">
        <v>31</v>
      </c>
      <c r="E875" s="37" t="s">
        <v>779</v>
      </c>
      <c r="F875" s="35" t="s">
        <v>322</v>
      </c>
      <c r="G875" s="7"/>
      <c r="H875" s="7"/>
      <c r="I875" s="12"/>
    </row>
    <row r="876" spans="1:9" ht="38.25" x14ac:dyDescent="0.2">
      <c r="A876" s="35" t="str">
        <f>HYPERLINK("https://mississippidhs.jamacloud.com/perspective.req?projectId=53&amp;docId=28801","LSRP-SHRQ-868")</f>
        <v>LSRP-SHRQ-868</v>
      </c>
      <c r="B876" s="8" t="s">
        <v>1229</v>
      </c>
      <c r="C876" s="35" t="s">
        <v>319</v>
      </c>
      <c r="D876" s="36" t="s">
        <v>31</v>
      </c>
      <c r="E876" s="37" t="s">
        <v>779</v>
      </c>
      <c r="F876" s="35" t="s">
        <v>322</v>
      </c>
      <c r="G876" s="7"/>
      <c r="H876" s="7"/>
      <c r="I876" s="12"/>
    </row>
    <row r="877" spans="1:9" ht="25.5" x14ac:dyDescent="0.2">
      <c r="A877" s="35" t="str">
        <f>HYPERLINK("https://mississippidhs.jamacloud.com/perspective.req?projectId=53&amp;docId=28802","LSRP-SHRQ-869")</f>
        <v>LSRP-SHRQ-869</v>
      </c>
      <c r="B877" s="8" t="s">
        <v>1230</v>
      </c>
      <c r="C877" s="35" t="s">
        <v>319</v>
      </c>
      <c r="D877" s="36" t="s">
        <v>31</v>
      </c>
      <c r="E877" s="37" t="s">
        <v>779</v>
      </c>
      <c r="F877" s="35" t="s">
        <v>322</v>
      </c>
      <c r="G877" s="7"/>
      <c r="H877" s="7"/>
      <c r="I877" s="12"/>
    </row>
    <row r="878" spans="1:9" ht="38.25" x14ac:dyDescent="0.2">
      <c r="A878" s="35" t="str">
        <f>HYPERLINK("https://mississippidhs.jamacloud.com/perspective.req?projectId=53&amp;docId=28803","LSRP-SHRQ-870")</f>
        <v>LSRP-SHRQ-870</v>
      </c>
      <c r="B878" s="8" t="s">
        <v>1231</v>
      </c>
      <c r="C878" s="35" t="s">
        <v>319</v>
      </c>
      <c r="D878" s="36" t="s">
        <v>31</v>
      </c>
      <c r="E878" s="37" t="s">
        <v>779</v>
      </c>
      <c r="F878" s="35" t="s">
        <v>322</v>
      </c>
      <c r="G878" s="7"/>
      <c r="H878" s="7"/>
      <c r="I878" s="12"/>
    </row>
    <row r="879" spans="1:9" ht="38.25" x14ac:dyDescent="0.2">
      <c r="A879" s="35" t="str">
        <f>HYPERLINK("https://mississippidhs.jamacloud.com/perspective.req?projectId=53&amp;docId=28804","LSRP-SHRQ-871")</f>
        <v>LSRP-SHRQ-871</v>
      </c>
      <c r="B879" s="8" t="s">
        <v>1232</v>
      </c>
      <c r="C879" s="35" t="s">
        <v>319</v>
      </c>
      <c r="D879" s="36" t="s">
        <v>31</v>
      </c>
      <c r="E879" s="37" t="s">
        <v>779</v>
      </c>
      <c r="F879" s="35" t="s">
        <v>322</v>
      </c>
      <c r="G879" s="7"/>
      <c r="H879" s="7"/>
      <c r="I879" s="12"/>
    </row>
    <row r="880" spans="1:9" ht="25.5" x14ac:dyDescent="0.2">
      <c r="A880" s="35" t="str">
        <f>HYPERLINK("https://mississippidhs.jamacloud.com/perspective.req?projectId=53&amp;docId=28805","LSRP-SHRQ-872")</f>
        <v>LSRP-SHRQ-872</v>
      </c>
      <c r="B880" s="8" t="s">
        <v>1233</v>
      </c>
      <c r="C880" s="35" t="s">
        <v>319</v>
      </c>
      <c r="D880" s="36" t="s">
        <v>31</v>
      </c>
      <c r="E880" s="37" t="s">
        <v>779</v>
      </c>
      <c r="F880" s="35" t="s">
        <v>322</v>
      </c>
      <c r="G880" s="7"/>
      <c r="H880" s="7"/>
      <c r="I880" s="12"/>
    </row>
    <row r="881" spans="1:9" ht="25.5" x14ac:dyDescent="0.2">
      <c r="A881" s="35" t="str">
        <f>HYPERLINK("https://mississippidhs.jamacloud.com/perspective.req?projectId=53&amp;docId=28806","LSRP-SHRQ-873")</f>
        <v>LSRP-SHRQ-873</v>
      </c>
      <c r="B881" s="8" t="s">
        <v>1234</v>
      </c>
      <c r="C881" s="35" t="s">
        <v>319</v>
      </c>
      <c r="D881" s="36" t="s">
        <v>31</v>
      </c>
      <c r="E881" s="37" t="s">
        <v>779</v>
      </c>
      <c r="F881" s="35" t="s">
        <v>322</v>
      </c>
      <c r="G881" s="7"/>
      <c r="H881" s="7"/>
      <c r="I881" s="12"/>
    </row>
    <row r="882" spans="1:9" ht="89.25" x14ac:dyDescent="0.2">
      <c r="A882" s="35" t="str">
        <f>HYPERLINK("https://mississippidhs.jamacloud.com/perspective.req?projectId=53&amp;docId=28807","LSRP-SHRQ-874")</f>
        <v>LSRP-SHRQ-874</v>
      </c>
      <c r="B882" s="8" t="s">
        <v>1235</v>
      </c>
      <c r="C882" s="35" t="s">
        <v>319</v>
      </c>
      <c r="D882" s="36" t="s">
        <v>31</v>
      </c>
      <c r="E882" s="37" t="s">
        <v>779</v>
      </c>
      <c r="F882" s="35" t="s">
        <v>322</v>
      </c>
      <c r="G882" s="7"/>
      <c r="H882" s="7"/>
      <c r="I882" s="12"/>
    </row>
    <row r="883" spans="1:9" ht="38.25" x14ac:dyDescent="0.2">
      <c r="A883" s="35" t="str">
        <f>HYPERLINK("https://mississippidhs.jamacloud.com/perspective.req?projectId=53&amp;docId=28808","LSRP-SHRQ-875")</f>
        <v>LSRP-SHRQ-875</v>
      </c>
      <c r="B883" s="8" t="s">
        <v>1236</v>
      </c>
      <c r="C883" s="35" t="s">
        <v>319</v>
      </c>
      <c r="D883" s="36" t="s">
        <v>31</v>
      </c>
      <c r="E883" s="37" t="s">
        <v>779</v>
      </c>
      <c r="F883" s="35" t="s">
        <v>322</v>
      </c>
      <c r="G883" s="7"/>
      <c r="H883" s="7"/>
      <c r="I883" s="12"/>
    </row>
    <row r="884" spans="1:9" ht="38.25" x14ac:dyDescent="0.2">
      <c r="A884" s="35" t="str">
        <f>HYPERLINK("https://mississippidhs.jamacloud.com/perspective.req?projectId=53&amp;docId=28809","LSRP-SHRQ-876")</f>
        <v>LSRP-SHRQ-876</v>
      </c>
      <c r="B884" s="8" t="s">
        <v>1237</v>
      </c>
      <c r="C884" s="35" t="s">
        <v>319</v>
      </c>
      <c r="D884" s="36" t="s">
        <v>31</v>
      </c>
      <c r="E884" s="37" t="s">
        <v>779</v>
      </c>
      <c r="F884" s="35" t="s">
        <v>322</v>
      </c>
      <c r="G884" s="7"/>
      <c r="H884" s="7"/>
      <c r="I884" s="12"/>
    </row>
    <row r="885" spans="1:9" ht="25.5" x14ac:dyDescent="0.2">
      <c r="A885" s="35" t="str">
        <f>HYPERLINK("https://mississippidhs.jamacloud.com/perspective.req?projectId=53&amp;docId=28810","LSRP-SHRQ-877")</f>
        <v>LSRP-SHRQ-877</v>
      </c>
      <c r="B885" s="8" t="s">
        <v>1238</v>
      </c>
      <c r="C885" s="35" t="s">
        <v>319</v>
      </c>
      <c r="D885" s="36" t="s">
        <v>31</v>
      </c>
      <c r="E885" s="37" t="s">
        <v>779</v>
      </c>
      <c r="F885" s="35" t="s">
        <v>322</v>
      </c>
      <c r="G885" s="7"/>
      <c r="H885" s="7"/>
      <c r="I885" s="12"/>
    </row>
    <row r="886" spans="1:9" ht="25.5" x14ac:dyDescent="0.2">
      <c r="A886" s="35" t="str">
        <f>HYPERLINK("https://mississippidhs.jamacloud.com/perspective.req?projectId=53&amp;docId=28811","LSRP-SHRQ-878")</f>
        <v>LSRP-SHRQ-878</v>
      </c>
      <c r="B886" s="8" t="s">
        <v>1239</v>
      </c>
      <c r="C886" s="35" t="s">
        <v>319</v>
      </c>
      <c r="D886" s="36" t="s">
        <v>31</v>
      </c>
      <c r="E886" s="37" t="s">
        <v>779</v>
      </c>
      <c r="F886" s="35" t="s">
        <v>322</v>
      </c>
      <c r="G886" s="7"/>
      <c r="H886" s="7"/>
      <c r="I886" s="12"/>
    </row>
    <row r="887" spans="1:9" ht="14.25" x14ac:dyDescent="0.2">
      <c r="A887" s="35" t="str">
        <f>HYPERLINK("https://mississippidhs.jamacloud.com/perspective.req?projectId=53&amp;docId=28812","LSRP-SHRQ-879")</f>
        <v>LSRP-SHRQ-879</v>
      </c>
      <c r="B887" s="8" t="s">
        <v>1240</v>
      </c>
      <c r="C887" s="35" t="s">
        <v>319</v>
      </c>
      <c r="D887" s="36" t="s">
        <v>31</v>
      </c>
      <c r="E887" s="37" t="s">
        <v>779</v>
      </c>
      <c r="F887" s="35" t="s">
        <v>322</v>
      </c>
      <c r="G887" s="7"/>
      <c r="H887" s="7"/>
      <c r="I887" s="12"/>
    </row>
    <row r="888" spans="1:9" ht="25.5" x14ac:dyDescent="0.2">
      <c r="A888" s="35" t="str">
        <f>HYPERLINK("https://mississippidhs.jamacloud.com/perspective.req?projectId=53&amp;docId=28813","LSRP-SHRQ-880")</f>
        <v>LSRP-SHRQ-880</v>
      </c>
      <c r="B888" s="8" t="s">
        <v>1241</v>
      </c>
      <c r="C888" s="35" t="s">
        <v>319</v>
      </c>
      <c r="D888" s="36" t="s">
        <v>31</v>
      </c>
      <c r="E888" s="37" t="s">
        <v>779</v>
      </c>
      <c r="F888" s="35" t="s">
        <v>322</v>
      </c>
      <c r="G888" s="7"/>
      <c r="H888" s="7"/>
      <c r="I888" s="12"/>
    </row>
    <row r="889" spans="1:9" ht="38.25" x14ac:dyDescent="0.2">
      <c r="A889" s="35" t="str">
        <f>HYPERLINK("https://mississippidhs.jamacloud.com/perspective.req?projectId=53&amp;docId=28814","LSRP-SHRQ-881")</f>
        <v>LSRP-SHRQ-881</v>
      </c>
      <c r="B889" s="8" t="s">
        <v>1242</v>
      </c>
      <c r="C889" s="35" t="s">
        <v>319</v>
      </c>
      <c r="D889" s="36" t="s">
        <v>31</v>
      </c>
      <c r="E889" s="37" t="s">
        <v>779</v>
      </c>
      <c r="F889" s="35" t="s">
        <v>322</v>
      </c>
      <c r="G889" s="7"/>
      <c r="H889" s="7"/>
      <c r="I889" s="12"/>
    </row>
    <row r="890" spans="1:9" ht="25.5" x14ac:dyDescent="0.2">
      <c r="A890" s="35" t="str">
        <f>HYPERLINK("https://mississippidhs.jamacloud.com/perspective.req?projectId=53&amp;docId=28815","LSRP-SHRQ-882")</f>
        <v>LSRP-SHRQ-882</v>
      </c>
      <c r="B890" s="8" t="s">
        <v>1243</v>
      </c>
      <c r="C890" s="35" t="s">
        <v>319</v>
      </c>
      <c r="D890" s="36" t="s">
        <v>31</v>
      </c>
      <c r="E890" s="37" t="s">
        <v>779</v>
      </c>
      <c r="F890" s="35" t="s">
        <v>322</v>
      </c>
      <c r="G890" s="7"/>
      <c r="H890" s="7"/>
      <c r="I890" s="12"/>
    </row>
    <row r="891" spans="1:9" ht="14.25" x14ac:dyDescent="0.2">
      <c r="A891" s="35" t="str">
        <f>HYPERLINK("https://mississippidhs.jamacloud.com/perspective.req?projectId=53&amp;docId=29731","LSRP-SHRQ-1787")</f>
        <v>LSRP-SHRQ-1787</v>
      </c>
      <c r="B891" s="8" t="s">
        <v>1244</v>
      </c>
      <c r="C891" s="35" t="s">
        <v>319</v>
      </c>
      <c r="D891" s="36" t="s">
        <v>31</v>
      </c>
      <c r="E891" s="37" t="s">
        <v>779</v>
      </c>
      <c r="F891" s="35" t="s">
        <v>322</v>
      </c>
      <c r="G891" s="7"/>
      <c r="H891" s="7"/>
      <c r="I891" s="12"/>
    </row>
    <row r="892" spans="1:9" ht="14.25" x14ac:dyDescent="0.2">
      <c r="A892" s="35" t="str">
        <f>HYPERLINK("https://mississippidhs.jamacloud.com/perspective.req?projectId=53&amp;docId=29733","LSRP-SHRQ-1789")</f>
        <v>LSRP-SHRQ-1789</v>
      </c>
      <c r="B892" s="8" t="s">
        <v>1245</v>
      </c>
      <c r="C892" s="35" t="s">
        <v>319</v>
      </c>
      <c r="D892" s="36" t="s">
        <v>31</v>
      </c>
      <c r="E892" s="37" t="s">
        <v>779</v>
      </c>
      <c r="F892" s="35" t="s">
        <v>322</v>
      </c>
      <c r="G892" s="7"/>
      <c r="H892" s="7"/>
      <c r="I892" s="12"/>
    </row>
    <row r="893" spans="1:9" ht="51" x14ac:dyDescent="0.2">
      <c r="A893" s="35" t="str">
        <f>HYPERLINK("https://mississippidhs.jamacloud.com/perspective.req?projectId=53&amp;docId=28817","LSRP-SHRQ-884")</f>
        <v>LSRP-SHRQ-884</v>
      </c>
      <c r="B893" s="8" t="s">
        <v>1246</v>
      </c>
      <c r="C893" s="35" t="s">
        <v>319</v>
      </c>
      <c r="D893" s="36" t="s">
        <v>1247</v>
      </c>
      <c r="E893" s="37" t="s">
        <v>779</v>
      </c>
      <c r="F893" s="35" t="s">
        <v>322</v>
      </c>
      <c r="G893" s="7"/>
      <c r="H893" s="7"/>
      <c r="I893" s="12"/>
    </row>
    <row r="894" spans="1:9" ht="25.5" x14ac:dyDescent="0.2">
      <c r="A894" s="35" t="str">
        <f>HYPERLINK("https://mississippidhs.jamacloud.com/perspective.req?projectId=53&amp;docId=28818","LSRP-SHRQ-885")</f>
        <v>LSRP-SHRQ-885</v>
      </c>
      <c r="B894" s="8" t="s">
        <v>1248</v>
      </c>
      <c r="C894" s="35" t="s">
        <v>319</v>
      </c>
      <c r="D894" s="36" t="s">
        <v>1247</v>
      </c>
      <c r="E894" s="37" t="s">
        <v>779</v>
      </c>
      <c r="F894" s="35" t="s">
        <v>322</v>
      </c>
      <c r="G894" s="7"/>
      <c r="H894" s="7"/>
      <c r="I894" s="12"/>
    </row>
    <row r="895" spans="1:9" ht="25.5" x14ac:dyDescent="0.2">
      <c r="A895" s="35" t="str">
        <f>HYPERLINK("https://mississippidhs.jamacloud.com/perspective.req?projectId=53&amp;docId=28819","LSRP-SHRQ-886")</f>
        <v>LSRP-SHRQ-886</v>
      </c>
      <c r="B895" s="8" t="s">
        <v>1249</v>
      </c>
      <c r="C895" s="35" t="s">
        <v>319</v>
      </c>
      <c r="D895" s="36" t="s">
        <v>1247</v>
      </c>
      <c r="E895" s="37" t="s">
        <v>779</v>
      </c>
      <c r="F895" s="35" t="s">
        <v>322</v>
      </c>
      <c r="G895" s="7"/>
      <c r="H895" s="7"/>
      <c r="I895" s="12"/>
    </row>
    <row r="896" spans="1:9" ht="38.25" x14ac:dyDescent="0.2">
      <c r="A896" s="35" t="str">
        <f>HYPERLINK("https://mississippidhs.jamacloud.com/perspective.req?projectId=53&amp;docId=28820","LSRP-SHRQ-887")</f>
        <v>LSRP-SHRQ-887</v>
      </c>
      <c r="B896" s="8" t="s">
        <v>1250</v>
      </c>
      <c r="C896" s="35" t="s">
        <v>319</v>
      </c>
      <c r="D896" s="36" t="s">
        <v>1247</v>
      </c>
      <c r="E896" s="37" t="s">
        <v>779</v>
      </c>
      <c r="F896" s="35" t="s">
        <v>322</v>
      </c>
      <c r="G896" s="7"/>
      <c r="H896" s="7"/>
      <c r="I896" s="12"/>
    </row>
    <row r="897" spans="1:9" ht="25.5" x14ac:dyDescent="0.2">
      <c r="A897" s="35" t="str">
        <f>HYPERLINK("https://mississippidhs.jamacloud.com/perspective.req?projectId=53&amp;docId=28821","LSRP-SHRQ-888")</f>
        <v>LSRP-SHRQ-888</v>
      </c>
      <c r="B897" s="8" t="s">
        <v>1251</v>
      </c>
      <c r="C897" s="35" t="s">
        <v>319</v>
      </c>
      <c r="D897" s="36" t="s">
        <v>1247</v>
      </c>
      <c r="E897" s="37" t="s">
        <v>779</v>
      </c>
      <c r="F897" s="35" t="s">
        <v>322</v>
      </c>
      <c r="G897" s="7"/>
      <c r="H897" s="7"/>
      <c r="I897" s="12"/>
    </row>
    <row r="898" spans="1:9" ht="38.25" x14ac:dyDescent="0.2">
      <c r="A898" s="35" t="str">
        <f>HYPERLINK("https://mississippidhs.jamacloud.com/perspective.req?projectId=53&amp;docId=28822","LSRP-SHRQ-889")</f>
        <v>LSRP-SHRQ-889</v>
      </c>
      <c r="B898" s="8" t="s">
        <v>1252</v>
      </c>
      <c r="C898" s="35" t="s">
        <v>319</v>
      </c>
      <c r="D898" s="36" t="s">
        <v>1247</v>
      </c>
      <c r="E898" s="37" t="s">
        <v>779</v>
      </c>
      <c r="F898" s="35" t="s">
        <v>322</v>
      </c>
      <c r="G898" s="7"/>
      <c r="H898" s="7"/>
      <c r="I898" s="12"/>
    </row>
    <row r="899" spans="1:9" ht="38.25" x14ac:dyDescent="0.2">
      <c r="A899" s="35" t="str">
        <f>HYPERLINK("https://mississippidhs.jamacloud.com/perspective.req?projectId=53&amp;docId=28823","LSRP-SHRQ-890")</f>
        <v>LSRP-SHRQ-890</v>
      </c>
      <c r="B899" s="8" t="s">
        <v>1253</v>
      </c>
      <c r="C899" s="35" t="s">
        <v>319</v>
      </c>
      <c r="D899" s="36" t="s">
        <v>1247</v>
      </c>
      <c r="E899" s="37" t="s">
        <v>779</v>
      </c>
      <c r="F899" s="35" t="s">
        <v>322</v>
      </c>
      <c r="G899" s="7"/>
      <c r="H899" s="7"/>
      <c r="I899" s="12"/>
    </row>
    <row r="900" spans="1:9" ht="25.5" x14ac:dyDescent="0.2">
      <c r="A900" s="35" t="str">
        <f>HYPERLINK("https://mississippidhs.jamacloud.com/perspective.req?projectId=53&amp;docId=28824","LSRP-SHRQ-891")</f>
        <v>LSRP-SHRQ-891</v>
      </c>
      <c r="B900" s="8" t="s">
        <v>1254</v>
      </c>
      <c r="C900" s="35" t="s">
        <v>319</v>
      </c>
      <c r="D900" s="36" t="s">
        <v>1247</v>
      </c>
      <c r="E900" s="37" t="s">
        <v>779</v>
      </c>
      <c r="F900" s="35" t="s">
        <v>322</v>
      </c>
      <c r="G900" s="7"/>
      <c r="H900" s="7"/>
      <c r="I900" s="12"/>
    </row>
    <row r="901" spans="1:9" ht="25.5" x14ac:dyDescent="0.2">
      <c r="A901" s="35" t="str">
        <f>HYPERLINK("https://mississippidhs.jamacloud.com/perspective.req?projectId=53&amp;docId=28825","LSRP-SHRQ-892")</f>
        <v>LSRP-SHRQ-892</v>
      </c>
      <c r="B901" s="8" t="s">
        <v>1255</v>
      </c>
      <c r="C901" s="35" t="s">
        <v>319</v>
      </c>
      <c r="D901" s="36" t="s">
        <v>1247</v>
      </c>
      <c r="E901" s="37" t="s">
        <v>779</v>
      </c>
      <c r="F901" s="35" t="s">
        <v>322</v>
      </c>
      <c r="G901" s="7"/>
      <c r="H901" s="7"/>
      <c r="I901" s="12"/>
    </row>
    <row r="902" spans="1:9" ht="25.5" x14ac:dyDescent="0.2">
      <c r="A902" s="35" t="str">
        <f>HYPERLINK("https://mississippidhs.jamacloud.com/perspective.req?projectId=53&amp;docId=28826","LSRP-SHRQ-893")</f>
        <v>LSRP-SHRQ-893</v>
      </c>
      <c r="B902" s="8" t="s">
        <v>1256</v>
      </c>
      <c r="C902" s="35" t="s">
        <v>319</v>
      </c>
      <c r="D902" s="36" t="s">
        <v>1247</v>
      </c>
      <c r="E902" s="37" t="s">
        <v>779</v>
      </c>
      <c r="F902" s="35" t="s">
        <v>322</v>
      </c>
      <c r="G902" s="7"/>
      <c r="H902" s="7"/>
      <c r="I902" s="12"/>
    </row>
    <row r="903" spans="1:9" ht="25.5" x14ac:dyDescent="0.2">
      <c r="A903" s="35" t="str">
        <f>HYPERLINK("https://mississippidhs.jamacloud.com/perspective.req?projectId=53&amp;docId=28827","LSRP-SHRQ-894")</f>
        <v>LSRP-SHRQ-894</v>
      </c>
      <c r="B903" s="8" t="s">
        <v>1257</v>
      </c>
      <c r="C903" s="35" t="s">
        <v>319</v>
      </c>
      <c r="D903" s="36" t="s">
        <v>1247</v>
      </c>
      <c r="E903" s="37" t="s">
        <v>779</v>
      </c>
      <c r="F903" s="35" t="s">
        <v>322</v>
      </c>
      <c r="G903" s="7"/>
      <c r="H903" s="7"/>
      <c r="I903" s="12"/>
    </row>
    <row r="904" spans="1:9" ht="38.25" x14ac:dyDescent="0.2">
      <c r="A904" s="35" t="str">
        <f>HYPERLINK("https://mississippidhs.jamacloud.com/perspective.req?projectId=53&amp;docId=28828","LSRP-SHRQ-895")</f>
        <v>LSRP-SHRQ-895</v>
      </c>
      <c r="B904" s="8" t="s">
        <v>1258</v>
      </c>
      <c r="C904" s="35" t="s">
        <v>319</v>
      </c>
      <c r="D904" s="36" t="s">
        <v>1247</v>
      </c>
      <c r="E904" s="37" t="s">
        <v>779</v>
      </c>
      <c r="F904" s="35" t="s">
        <v>322</v>
      </c>
      <c r="G904" s="7"/>
      <c r="H904" s="7"/>
      <c r="I904" s="12"/>
    </row>
    <row r="905" spans="1:9" ht="38.25" x14ac:dyDescent="0.2">
      <c r="A905" s="35" t="str">
        <f>HYPERLINK("https://mississippidhs.jamacloud.com/perspective.req?projectId=53&amp;docId=28829","LSRP-SHRQ-896")</f>
        <v>LSRP-SHRQ-896</v>
      </c>
      <c r="B905" s="8" t="s">
        <v>1259</v>
      </c>
      <c r="C905" s="35" t="s">
        <v>319</v>
      </c>
      <c r="D905" s="36" t="s">
        <v>1247</v>
      </c>
      <c r="E905" s="37" t="s">
        <v>779</v>
      </c>
      <c r="F905" s="35" t="s">
        <v>322</v>
      </c>
      <c r="G905" s="7"/>
      <c r="H905" s="7"/>
      <c r="I905" s="12"/>
    </row>
    <row r="906" spans="1:9" ht="14.25" x14ac:dyDescent="0.2">
      <c r="A906" s="35" t="str">
        <f>HYPERLINK("https://mississippidhs.jamacloud.com/perspective.req?projectId=53&amp;docId=28830","LSRP-SHRQ-897")</f>
        <v>LSRP-SHRQ-897</v>
      </c>
      <c r="B906" s="8" t="s">
        <v>1260</v>
      </c>
      <c r="C906" s="35" t="s">
        <v>319</v>
      </c>
      <c r="D906" s="36" t="s">
        <v>1247</v>
      </c>
      <c r="E906" s="37" t="s">
        <v>779</v>
      </c>
      <c r="F906" s="35" t="s">
        <v>322</v>
      </c>
      <c r="G906" s="7"/>
      <c r="H906" s="7"/>
      <c r="I906" s="12"/>
    </row>
    <row r="907" spans="1:9" ht="38.25" x14ac:dyDescent="0.2">
      <c r="A907" s="35" t="str">
        <f>HYPERLINK("https://mississippidhs.jamacloud.com/perspective.req?projectId=53&amp;docId=28831","LSRP-SHRQ-898")</f>
        <v>LSRP-SHRQ-898</v>
      </c>
      <c r="B907" s="8" t="s">
        <v>1261</v>
      </c>
      <c r="C907" s="35" t="s">
        <v>319</v>
      </c>
      <c r="D907" s="36" t="s">
        <v>1247</v>
      </c>
      <c r="E907" s="37" t="s">
        <v>779</v>
      </c>
      <c r="F907" s="35" t="s">
        <v>322</v>
      </c>
      <c r="G907" s="7"/>
      <c r="H907" s="7"/>
      <c r="I907" s="12"/>
    </row>
    <row r="908" spans="1:9" ht="76.5" x14ac:dyDescent="0.2">
      <c r="A908" s="35" t="str">
        <f>HYPERLINK("https://mississippidhs.jamacloud.com/perspective.req?projectId=53&amp;docId=28832","LSRP-SHRQ-899")</f>
        <v>LSRP-SHRQ-899</v>
      </c>
      <c r="B908" s="8" t="s">
        <v>1262</v>
      </c>
      <c r="C908" s="35" t="s">
        <v>319</v>
      </c>
      <c r="D908" s="36" t="s">
        <v>1247</v>
      </c>
      <c r="E908" s="37" t="s">
        <v>779</v>
      </c>
      <c r="F908" s="35" t="s">
        <v>322</v>
      </c>
      <c r="G908" s="7"/>
      <c r="H908" s="7"/>
      <c r="I908" s="12"/>
    </row>
    <row r="909" spans="1:9" ht="38.25" x14ac:dyDescent="0.2">
      <c r="A909" s="35" t="str">
        <f>HYPERLINK("https://mississippidhs.jamacloud.com/perspective.req?projectId=53&amp;docId=28833","LSRP-SHRQ-900")</f>
        <v>LSRP-SHRQ-900</v>
      </c>
      <c r="B909" s="8" t="s">
        <v>1263</v>
      </c>
      <c r="C909" s="35" t="s">
        <v>319</v>
      </c>
      <c r="D909" s="36" t="s">
        <v>1247</v>
      </c>
      <c r="E909" s="37" t="s">
        <v>779</v>
      </c>
      <c r="F909" s="35" t="s">
        <v>322</v>
      </c>
      <c r="G909" s="7"/>
      <c r="H909" s="7"/>
      <c r="I909" s="12"/>
    </row>
    <row r="910" spans="1:9" ht="38.25" x14ac:dyDescent="0.2">
      <c r="A910" s="35" t="str">
        <f>HYPERLINK("https://mississippidhs.jamacloud.com/perspective.req?projectId=53&amp;docId=28834","LSRP-SHRQ-901")</f>
        <v>LSRP-SHRQ-901</v>
      </c>
      <c r="B910" s="8" t="s">
        <v>1264</v>
      </c>
      <c r="C910" s="35" t="s">
        <v>319</v>
      </c>
      <c r="D910" s="36" t="s">
        <v>1247</v>
      </c>
      <c r="E910" s="37" t="s">
        <v>779</v>
      </c>
      <c r="F910" s="35" t="s">
        <v>322</v>
      </c>
      <c r="G910" s="7"/>
      <c r="H910" s="7"/>
      <c r="I910" s="12"/>
    </row>
    <row r="911" spans="1:9" ht="38.25" x14ac:dyDescent="0.2">
      <c r="A911" s="35" t="str">
        <f>HYPERLINK("https://mississippidhs.jamacloud.com/perspective.req?projectId=53&amp;docId=28835","LSRP-SHRQ-902")</f>
        <v>LSRP-SHRQ-902</v>
      </c>
      <c r="B911" s="8" t="s">
        <v>1265</v>
      </c>
      <c r="C911" s="35" t="s">
        <v>319</v>
      </c>
      <c r="D911" s="36" t="s">
        <v>1247</v>
      </c>
      <c r="E911" s="37" t="s">
        <v>779</v>
      </c>
      <c r="F911" s="35" t="s">
        <v>322</v>
      </c>
      <c r="G911" s="7"/>
      <c r="H911" s="7"/>
      <c r="I911" s="12"/>
    </row>
    <row r="912" spans="1:9" ht="38.25" x14ac:dyDescent="0.2">
      <c r="A912" s="35" t="str">
        <f>HYPERLINK("https://mississippidhs.jamacloud.com/perspective.req?projectId=53&amp;docId=28836","LSRP-SHRQ-903")</f>
        <v>LSRP-SHRQ-903</v>
      </c>
      <c r="B912" s="8" t="s">
        <v>1266</v>
      </c>
      <c r="C912" s="35" t="s">
        <v>319</v>
      </c>
      <c r="D912" s="36" t="s">
        <v>1247</v>
      </c>
      <c r="E912" s="37" t="s">
        <v>779</v>
      </c>
      <c r="F912" s="35" t="s">
        <v>322</v>
      </c>
      <c r="G912" s="7"/>
      <c r="H912" s="7"/>
      <c r="I912" s="12"/>
    </row>
    <row r="913" spans="1:9" ht="38.25" x14ac:dyDescent="0.2">
      <c r="A913" s="35" t="str">
        <f>HYPERLINK("https://mississippidhs.jamacloud.com/perspective.req?projectId=53&amp;docId=28837","LSRP-SHRQ-904")</f>
        <v>LSRP-SHRQ-904</v>
      </c>
      <c r="B913" s="8" t="s">
        <v>1267</v>
      </c>
      <c r="C913" s="35" t="s">
        <v>319</v>
      </c>
      <c r="D913" s="36" t="s">
        <v>1247</v>
      </c>
      <c r="E913" s="37" t="s">
        <v>779</v>
      </c>
      <c r="F913" s="35" t="s">
        <v>322</v>
      </c>
      <c r="G913" s="7"/>
      <c r="H913" s="7"/>
      <c r="I913" s="12"/>
    </row>
    <row r="914" spans="1:9" ht="25.5" x14ac:dyDescent="0.2">
      <c r="A914" s="35" t="str">
        <f>HYPERLINK("https://mississippidhs.jamacloud.com/perspective.req?projectId=53&amp;docId=28838","LSRP-SHRQ-905")</f>
        <v>LSRP-SHRQ-905</v>
      </c>
      <c r="B914" s="8" t="s">
        <v>1268</v>
      </c>
      <c r="C914" s="35" t="s">
        <v>319</v>
      </c>
      <c r="D914" s="36" t="s">
        <v>1247</v>
      </c>
      <c r="E914" s="37" t="s">
        <v>779</v>
      </c>
      <c r="F914" s="35" t="s">
        <v>322</v>
      </c>
      <c r="G914" s="7"/>
      <c r="H914" s="7"/>
      <c r="I914" s="12"/>
    </row>
    <row r="915" spans="1:9" ht="38.25" x14ac:dyDescent="0.2">
      <c r="A915" s="35" t="str">
        <f>HYPERLINK("https://mississippidhs.jamacloud.com/perspective.req?projectId=53&amp;docId=28839","LSRP-SHRQ-906")</f>
        <v>LSRP-SHRQ-906</v>
      </c>
      <c r="B915" s="8" t="s">
        <v>1269</v>
      </c>
      <c r="C915" s="35" t="s">
        <v>319</v>
      </c>
      <c r="D915" s="36" t="s">
        <v>1247</v>
      </c>
      <c r="E915" s="37" t="s">
        <v>779</v>
      </c>
      <c r="F915" s="35" t="s">
        <v>322</v>
      </c>
      <c r="G915" s="7"/>
      <c r="H915" s="7"/>
      <c r="I915" s="12"/>
    </row>
    <row r="916" spans="1:9" ht="38.25" x14ac:dyDescent="0.2">
      <c r="A916" s="35" t="str">
        <f>HYPERLINK("https://mississippidhs.jamacloud.com/perspective.req?projectId=53&amp;docId=28840","LSRP-SHRQ-907")</f>
        <v>LSRP-SHRQ-907</v>
      </c>
      <c r="B916" s="8" t="s">
        <v>1270</v>
      </c>
      <c r="C916" s="35" t="s">
        <v>319</v>
      </c>
      <c r="D916" s="36" t="s">
        <v>1247</v>
      </c>
      <c r="E916" s="37" t="s">
        <v>779</v>
      </c>
      <c r="F916" s="35" t="s">
        <v>322</v>
      </c>
      <c r="G916" s="7"/>
      <c r="H916" s="7"/>
      <c r="I916" s="12"/>
    </row>
    <row r="917" spans="1:9" ht="63.75" x14ac:dyDescent="0.2">
      <c r="A917" s="35" t="str">
        <f>HYPERLINK("https://mississippidhs.jamacloud.com/perspective.req?projectId=53&amp;docId=28841","LSRP-SHRQ-908")</f>
        <v>LSRP-SHRQ-908</v>
      </c>
      <c r="B917" s="8" t="s">
        <v>1271</v>
      </c>
      <c r="C917" s="35" t="s">
        <v>319</v>
      </c>
      <c r="D917" s="36" t="s">
        <v>1247</v>
      </c>
      <c r="E917" s="37" t="s">
        <v>779</v>
      </c>
      <c r="F917" s="35" t="s">
        <v>322</v>
      </c>
      <c r="G917" s="7"/>
      <c r="H917" s="7"/>
      <c r="I917" s="12"/>
    </row>
    <row r="918" spans="1:9" ht="38.25" x14ac:dyDescent="0.2">
      <c r="A918" s="35" t="str">
        <f>HYPERLINK("https://mississippidhs.jamacloud.com/perspective.req?projectId=53&amp;docId=28842","LSRP-SHRQ-909")</f>
        <v>LSRP-SHRQ-909</v>
      </c>
      <c r="B918" s="8" t="s">
        <v>1272</v>
      </c>
      <c r="C918" s="35" t="s">
        <v>319</v>
      </c>
      <c r="D918" s="36" t="s">
        <v>1247</v>
      </c>
      <c r="E918" s="37" t="s">
        <v>779</v>
      </c>
      <c r="F918" s="35" t="s">
        <v>322</v>
      </c>
      <c r="G918" s="7"/>
      <c r="H918" s="7"/>
      <c r="I918" s="12"/>
    </row>
    <row r="919" spans="1:9" ht="38.25" x14ac:dyDescent="0.2">
      <c r="A919" s="35" t="str">
        <f>HYPERLINK("https://mississippidhs.jamacloud.com/perspective.req?projectId=53&amp;docId=28843","LSRP-SHRQ-910")</f>
        <v>LSRP-SHRQ-910</v>
      </c>
      <c r="B919" s="8" t="s">
        <v>1273</v>
      </c>
      <c r="C919" s="35" t="s">
        <v>319</v>
      </c>
      <c r="D919" s="36" t="s">
        <v>1247</v>
      </c>
      <c r="E919" s="37" t="s">
        <v>779</v>
      </c>
      <c r="F919" s="35" t="s">
        <v>322</v>
      </c>
      <c r="G919" s="7"/>
      <c r="H919" s="7"/>
      <c r="I919" s="12"/>
    </row>
    <row r="920" spans="1:9" ht="63.75" x14ac:dyDescent="0.2">
      <c r="A920" s="35" t="str">
        <f>HYPERLINK("https://mississippidhs.jamacloud.com/perspective.req?projectId=53&amp;docId=28844","LSRP-SHRQ-911")</f>
        <v>LSRP-SHRQ-911</v>
      </c>
      <c r="B920" s="8" t="s">
        <v>1274</v>
      </c>
      <c r="C920" s="35" t="s">
        <v>319</v>
      </c>
      <c r="D920" s="36" t="s">
        <v>1247</v>
      </c>
      <c r="E920" s="37" t="s">
        <v>779</v>
      </c>
      <c r="F920" s="35" t="s">
        <v>411</v>
      </c>
      <c r="G920" s="7"/>
      <c r="H920" s="7"/>
      <c r="I920" s="12"/>
    </row>
    <row r="921" spans="1:9" ht="76.5" x14ac:dyDescent="0.2">
      <c r="A921" s="35" t="str">
        <f>HYPERLINK("https://mississippidhs.jamacloud.com/perspective.req?projectId=53&amp;docId=28845","LSRP-SHRQ-912")</f>
        <v>LSRP-SHRQ-912</v>
      </c>
      <c r="B921" s="8" t="s">
        <v>1275</v>
      </c>
      <c r="C921" s="35" t="s">
        <v>319</v>
      </c>
      <c r="D921" s="36" t="s">
        <v>1247</v>
      </c>
      <c r="E921" s="37" t="s">
        <v>779</v>
      </c>
      <c r="F921" s="35" t="s">
        <v>411</v>
      </c>
      <c r="G921" s="7"/>
      <c r="H921" s="7"/>
      <c r="I921" s="12"/>
    </row>
    <row r="922" spans="1:9" ht="38.25" x14ac:dyDescent="0.2">
      <c r="A922" s="35" t="str">
        <f>HYPERLINK("https://mississippidhs.jamacloud.com/perspective.req?projectId=53&amp;docId=28847","LSRP-SHRQ-913")</f>
        <v>LSRP-SHRQ-913</v>
      </c>
      <c r="B922" s="8" t="s">
        <v>1276</v>
      </c>
      <c r="C922" s="35" t="s">
        <v>401</v>
      </c>
      <c r="D922" s="36" t="s">
        <v>51</v>
      </c>
      <c r="E922" s="37" t="s">
        <v>779</v>
      </c>
      <c r="F922" s="35" t="s">
        <v>411</v>
      </c>
      <c r="G922" s="7"/>
      <c r="H922" s="7"/>
      <c r="I922" s="12"/>
    </row>
    <row r="923" spans="1:9" ht="38.25" x14ac:dyDescent="0.2">
      <c r="A923" s="35" t="str">
        <f>HYPERLINK("https://mississippidhs.jamacloud.com/perspective.req?projectId=53&amp;docId=28848","LSRP-SHRQ-914")</f>
        <v>LSRP-SHRQ-914</v>
      </c>
      <c r="B923" s="8" t="s">
        <v>1277</v>
      </c>
      <c r="C923" s="35" t="s">
        <v>401</v>
      </c>
      <c r="D923" s="36" t="s">
        <v>51</v>
      </c>
      <c r="E923" s="37" t="s">
        <v>779</v>
      </c>
      <c r="F923" s="35" t="s">
        <v>411</v>
      </c>
      <c r="G923" s="7"/>
      <c r="H923" s="7"/>
      <c r="I923" s="12"/>
    </row>
    <row r="924" spans="1:9" ht="51" x14ac:dyDescent="0.2">
      <c r="A924" s="35" t="str">
        <f>HYPERLINK("https://mississippidhs.jamacloud.com/perspective.req?projectId=53&amp;docId=28849","LSRP-SHRQ-915")</f>
        <v>LSRP-SHRQ-915</v>
      </c>
      <c r="B924" s="8" t="s">
        <v>1278</v>
      </c>
      <c r="C924" s="35" t="s">
        <v>401</v>
      </c>
      <c r="D924" s="36" t="s">
        <v>51</v>
      </c>
      <c r="E924" s="37" t="s">
        <v>779</v>
      </c>
      <c r="F924" s="35" t="s">
        <v>411</v>
      </c>
      <c r="G924" s="7"/>
      <c r="H924" s="7"/>
      <c r="I924" s="12"/>
    </row>
    <row r="925" spans="1:9" ht="51" x14ac:dyDescent="0.2">
      <c r="A925" s="35" t="str">
        <f>HYPERLINK("https://mississippidhs.jamacloud.com/perspective.req?projectId=53&amp;docId=28850","LSRP-SHRQ-916")</f>
        <v>LSRP-SHRQ-916</v>
      </c>
      <c r="B925" s="8" t="s">
        <v>1279</v>
      </c>
      <c r="C925" s="35" t="s">
        <v>401</v>
      </c>
      <c r="D925" s="36" t="s">
        <v>51</v>
      </c>
      <c r="E925" s="37" t="s">
        <v>779</v>
      </c>
      <c r="F925" s="35" t="s">
        <v>411</v>
      </c>
      <c r="G925" s="7"/>
      <c r="H925" s="7"/>
      <c r="I925" s="12"/>
    </row>
    <row r="926" spans="1:9" ht="38.25" x14ac:dyDescent="0.2">
      <c r="A926" s="35" t="str">
        <f>HYPERLINK("https://mississippidhs.jamacloud.com/perspective.req?projectId=53&amp;docId=28851","LSRP-SHRQ-917")</f>
        <v>LSRP-SHRQ-917</v>
      </c>
      <c r="B926" s="8" t="s">
        <v>1280</v>
      </c>
      <c r="C926" s="35" t="s">
        <v>401</v>
      </c>
      <c r="D926" s="36" t="s">
        <v>51</v>
      </c>
      <c r="E926" s="37" t="s">
        <v>779</v>
      </c>
      <c r="F926" s="35" t="s">
        <v>411</v>
      </c>
      <c r="G926" s="7"/>
      <c r="H926" s="7"/>
      <c r="I926" s="12"/>
    </row>
    <row r="927" spans="1:9" ht="38.25" x14ac:dyDescent="0.2">
      <c r="A927" s="35" t="str">
        <f>HYPERLINK("https://mississippidhs.jamacloud.com/perspective.req?projectId=53&amp;docId=28852","LSRP-SHRQ-918")</f>
        <v>LSRP-SHRQ-918</v>
      </c>
      <c r="B927" s="8" t="s">
        <v>1281</v>
      </c>
      <c r="C927" s="35" t="s">
        <v>401</v>
      </c>
      <c r="D927" s="36" t="s">
        <v>51</v>
      </c>
      <c r="E927" s="37" t="s">
        <v>779</v>
      </c>
      <c r="F927" s="35" t="s">
        <v>411</v>
      </c>
      <c r="G927" s="7"/>
      <c r="H927" s="7"/>
      <c r="I927" s="12"/>
    </row>
    <row r="928" spans="1:9" ht="25.5" x14ac:dyDescent="0.2">
      <c r="A928" s="35" t="str">
        <f>HYPERLINK("https://mississippidhs.jamacloud.com/perspective.req?projectId=53&amp;docId=28853","LSRP-SHRQ-919")</f>
        <v>LSRP-SHRQ-919</v>
      </c>
      <c r="B928" s="8" t="s">
        <v>1282</v>
      </c>
      <c r="C928" s="35" t="s">
        <v>401</v>
      </c>
      <c r="D928" s="36" t="s">
        <v>51</v>
      </c>
      <c r="E928" s="37" t="s">
        <v>779</v>
      </c>
      <c r="F928" s="35" t="s">
        <v>411</v>
      </c>
      <c r="G928" s="7"/>
      <c r="H928" s="7"/>
      <c r="I928" s="12"/>
    </row>
    <row r="929" spans="1:9" ht="25.5" x14ac:dyDescent="0.2">
      <c r="A929" s="35" t="str">
        <f>HYPERLINK("https://mississippidhs.jamacloud.com/perspective.req?projectId=53&amp;docId=28854","LSRP-SHRQ-920")</f>
        <v>LSRP-SHRQ-920</v>
      </c>
      <c r="B929" s="8" t="s">
        <v>1283</v>
      </c>
      <c r="C929" s="35" t="s">
        <v>401</v>
      </c>
      <c r="D929" s="36" t="s">
        <v>51</v>
      </c>
      <c r="E929" s="37" t="s">
        <v>779</v>
      </c>
      <c r="F929" s="35" t="s">
        <v>411</v>
      </c>
      <c r="G929" s="7"/>
      <c r="H929" s="7"/>
      <c r="I929" s="12"/>
    </row>
    <row r="930" spans="1:9" ht="63.75" x14ac:dyDescent="0.2">
      <c r="A930" s="35" t="str">
        <f>HYPERLINK("https://mississippidhs.jamacloud.com/perspective.req?projectId=53&amp;docId=28855","LSRP-SHRQ-921")</f>
        <v>LSRP-SHRQ-921</v>
      </c>
      <c r="B930" s="8" t="s">
        <v>1284</v>
      </c>
      <c r="C930" s="35" t="s">
        <v>401</v>
      </c>
      <c r="D930" s="36" t="s">
        <v>51</v>
      </c>
      <c r="E930" s="37" t="s">
        <v>779</v>
      </c>
      <c r="F930" s="35" t="s">
        <v>411</v>
      </c>
      <c r="G930" s="7"/>
      <c r="H930" s="7"/>
      <c r="I930" s="12"/>
    </row>
    <row r="931" spans="1:9" ht="51" x14ac:dyDescent="0.2">
      <c r="A931" s="35" t="str">
        <f>HYPERLINK("https://mississippidhs.jamacloud.com/perspective.req?projectId=53&amp;docId=28856","LSRP-SHRQ-922")</f>
        <v>LSRP-SHRQ-922</v>
      </c>
      <c r="B931" s="8" t="s">
        <v>1285</v>
      </c>
      <c r="C931" s="35" t="s">
        <v>401</v>
      </c>
      <c r="D931" s="36" t="s">
        <v>51</v>
      </c>
      <c r="E931" s="37" t="s">
        <v>779</v>
      </c>
      <c r="F931" s="35" t="s">
        <v>411</v>
      </c>
      <c r="G931" s="7"/>
      <c r="H931" s="7"/>
      <c r="I931" s="12"/>
    </row>
    <row r="932" spans="1:9" ht="25.5" x14ac:dyDescent="0.2">
      <c r="A932" s="35" t="str">
        <f>HYPERLINK("https://mississippidhs.jamacloud.com/perspective.req?projectId=53&amp;docId=28857","LSRP-SHRQ-923")</f>
        <v>LSRP-SHRQ-923</v>
      </c>
      <c r="B932" s="8" t="s">
        <v>1286</v>
      </c>
      <c r="C932" s="35" t="s">
        <v>401</v>
      </c>
      <c r="D932" s="36" t="s">
        <v>51</v>
      </c>
      <c r="E932" s="37" t="s">
        <v>779</v>
      </c>
      <c r="F932" s="35" t="s">
        <v>411</v>
      </c>
      <c r="G932" s="7"/>
      <c r="H932" s="7"/>
      <c r="I932" s="12"/>
    </row>
    <row r="933" spans="1:9" ht="38.25" x14ac:dyDescent="0.2">
      <c r="A933" s="35" t="str">
        <f>HYPERLINK("https://mississippidhs.jamacloud.com/perspective.req?projectId=53&amp;docId=28858","LSRP-SHRQ-924")</f>
        <v>LSRP-SHRQ-924</v>
      </c>
      <c r="B933" s="8" t="s">
        <v>1287</v>
      </c>
      <c r="C933" s="35" t="s">
        <v>401</v>
      </c>
      <c r="D933" s="36" t="s">
        <v>51</v>
      </c>
      <c r="E933" s="37" t="s">
        <v>779</v>
      </c>
      <c r="F933" s="35" t="s">
        <v>411</v>
      </c>
      <c r="G933" s="7"/>
      <c r="H933" s="7"/>
      <c r="I933" s="12"/>
    </row>
    <row r="934" spans="1:9" ht="38.25" x14ac:dyDescent="0.2">
      <c r="A934" s="35" t="str">
        <f>HYPERLINK("https://mississippidhs.jamacloud.com/perspective.req?projectId=53&amp;docId=28859","LSRP-SHRQ-925")</f>
        <v>LSRP-SHRQ-925</v>
      </c>
      <c r="B934" s="8" t="s">
        <v>1288</v>
      </c>
      <c r="C934" s="35" t="s">
        <v>401</v>
      </c>
      <c r="D934" s="36" t="s">
        <v>51</v>
      </c>
      <c r="E934" s="37" t="s">
        <v>779</v>
      </c>
      <c r="F934" s="35" t="s">
        <v>411</v>
      </c>
      <c r="G934" s="7"/>
      <c r="H934" s="7"/>
      <c r="I934" s="12"/>
    </row>
    <row r="935" spans="1:9" ht="51" x14ac:dyDescent="0.2">
      <c r="A935" s="35" t="str">
        <f>HYPERLINK("https://mississippidhs.jamacloud.com/perspective.req?projectId=53&amp;docId=28860","LSRP-SHRQ-926")</f>
        <v>LSRP-SHRQ-926</v>
      </c>
      <c r="B935" s="8" t="s">
        <v>1289</v>
      </c>
      <c r="C935" s="35" t="s">
        <v>401</v>
      </c>
      <c r="D935" s="36" t="s">
        <v>51</v>
      </c>
      <c r="E935" s="37" t="s">
        <v>779</v>
      </c>
      <c r="F935" s="35" t="s">
        <v>411</v>
      </c>
      <c r="G935" s="7"/>
      <c r="H935" s="7"/>
      <c r="I935" s="12"/>
    </row>
    <row r="936" spans="1:9" ht="25.5" x14ac:dyDescent="0.2">
      <c r="A936" s="35" t="str">
        <f>HYPERLINK("https://mississippidhs.jamacloud.com/perspective.req?projectId=53&amp;docId=28861","LSRP-SHRQ-927")</f>
        <v>LSRP-SHRQ-927</v>
      </c>
      <c r="B936" s="8" t="s">
        <v>1290</v>
      </c>
      <c r="C936" s="35" t="s">
        <v>401</v>
      </c>
      <c r="D936" s="36" t="s">
        <v>51</v>
      </c>
      <c r="E936" s="37" t="s">
        <v>779</v>
      </c>
      <c r="F936" s="35" t="s">
        <v>411</v>
      </c>
      <c r="G936" s="7"/>
      <c r="H936" s="7"/>
      <c r="I936" s="12"/>
    </row>
    <row r="937" spans="1:9" ht="63.75" x14ac:dyDescent="0.2">
      <c r="A937" s="35" t="str">
        <f>HYPERLINK("https://mississippidhs.jamacloud.com/perspective.req?projectId=53&amp;docId=28862","LSRP-SHRQ-928")</f>
        <v>LSRP-SHRQ-928</v>
      </c>
      <c r="B937" s="8" t="s">
        <v>1291</v>
      </c>
      <c r="C937" s="35" t="s">
        <v>401</v>
      </c>
      <c r="D937" s="36" t="s">
        <v>51</v>
      </c>
      <c r="E937" s="37" t="s">
        <v>779</v>
      </c>
      <c r="F937" s="35" t="s">
        <v>411</v>
      </c>
      <c r="G937" s="7"/>
      <c r="H937" s="7"/>
      <c r="I937" s="12"/>
    </row>
    <row r="938" spans="1:9" ht="38.25" x14ac:dyDescent="0.2">
      <c r="A938" s="35" t="str">
        <f>HYPERLINK("https://mississippidhs.jamacloud.com/perspective.req?projectId=53&amp;docId=28863","LSRP-SHRQ-929")</f>
        <v>LSRP-SHRQ-929</v>
      </c>
      <c r="B938" s="8" t="s">
        <v>1292</v>
      </c>
      <c r="C938" s="35" t="s">
        <v>401</v>
      </c>
      <c r="D938" s="36" t="s">
        <v>51</v>
      </c>
      <c r="E938" s="37" t="s">
        <v>779</v>
      </c>
      <c r="F938" s="35" t="s">
        <v>411</v>
      </c>
      <c r="G938" s="7"/>
      <c r="H938" s="7"/>
      <c r="I938" s="12"/>
    </row>
    <row r="939" spans="1:9" ht="25.5" x14ac:dyDescent="0.2">
      <c r="A939" s="35" t="str">
        <f>HYPERLINK("https://mississippidhs.jamacloud.com/perspective.req?projectId=53&amp;docId=28864","LSRP-SHRQ-930")</f>
        <v>LSRP-SHRQ-930</v>
      </c>
      <c r="B939" s="8" t="s">
        <v>1293</v>
      </c>
      <c r="C939" s="35" t="s">
        <v>401</v>
      </c>
      <c r="D939" s="36" t="s">
        <v>51</v>
      </c>
      <c r="E939" s="37" t="s">
        <v>779</v>
      </c>
      <c r="F939" s="35" t="s">
        <v>411</v>
      </c>
      <c r="G939" s="7"/>
      <c r="H939" s="7"/>
      <c r="I939" s="12"/>
    </row>
    <row r="940" spans="1:9" ht="38.25" x14ac:dyDescent="0.2">
      <c r="A940" s="35" t="str">
        <f>HYPERLINK("https://mississippidhs.jamacloud.com/perspective.req?projectId=53&amp;docId=28865","LSRP-SHRQ-931")</f>
        <v>LSRP-SHRQ-931</v>
      </c>
      <c r="B940" s="8" t="s">
        <v>1294</v>
      </c>
      <c r="C940" s="35" t="s">
        <v>401</v>
      </c>
      <c r="D940" s="36" t="s">
        <v>51</v>
      </c>
      <c r="E940" s="37" t="s">
        <v>779</v>
      </c>
      <c r="F940" s="35" t="s">
        <v>411</v>
      </c>
      <c r="G940" s="7"/>
      <c r="H940" s="7"/>
      <c r="I940" s="12"/>
    </row>
    <row r="941" spans="1:9" ht="25.5" x14ac:dyDescent="0.2">
      <c r="A941" s="35" t="str">
        <f>HYPERLINK("https://mississippidhs.jamacloud.com/perspective.req?projectId=53&amp;docId=28866","LSRP-SHRQ-932")</f>
        <v>LSRP-SHRQ-932</v>
      </c>
      <c r="B941" s="8" t="s">
        <v>1295</v>
      </c>
      <c r="C941" s="35" t="s">
        <v>401</v>
      </c>
      <c r="D941" s="36" t="s">
        <v>51</v>
      </c>
      <c r="E941" s="37" t="s">
        <v>779</v>
      </c>
      <c r="F941" s="35" t="s">
        <v>411</v>
      </c>
      <c r="G941" s="7"/>
      <c r="H941" s="7"/>
      <c r="I941" s="12"/>
    </row>
    <row r="942" spans="1:9" ht="38.25" x14ac:dyDescent="0.2">
      <c r="A942" s="35" t="str">
        <f>HYPERLINK("https://mississippidhs.jamacloud.com/perspective.req?projectId=53&amp;docId=28867","LSRP-SHRQ-933")</f>
        <v>LSRP-SHRQ-933</v>
      </c>
      <c r="B942" s="8" t="s">
        <v>1296</v>
      </c>
      <c r="C942" s="35" t="s">
        <v>401</v>
      </c>
      <c r="D942" s="36" t="s">
        <v>51</v>
      </c>
      <c r="E942" s="37" t="s">
        <v>779</v>
      </c>
      <c r="F942" s="35" t="s">
        <v>411</v>
      </c>
      <c r="G942" s="7"/>
      <c r="H942" s="7"/>
      <c r="I942" s="12"/>
    </row>
    <row r="943" spans="1:9" ht="25.5" x14ac:dyDescent="0.2">
      <c r="A943" s="35" t="str">
        <f>HYPERLINK("https://mississippidhs.jamacloud.com/perspective.req?projectId=53&amp;docId=28868","LSRP-SHRQ-934")</f>
        <v>LSRP-SHRQ-934</v>
      </c>
      <c r="B943" s="8" t="s">
        <v>1297</v>
      </c>
      <c r="C943" s="35" t="s">
        <v>401</v>
      </c>
      <c r="D943" s="36" t="s">
        <v>51</v>
      </c>
      <c r="E943" s="37" t="s">
        <v>779</v>
      </c>
      <c r="F943" s="35" t="s">
        <v>411</v>
      </c>
      <c r="G943" s="7"/>
      <c r="H943" s="7"/>
      <c r="I943" s="12"/>
    </row>
    <row r="944" spans="1:9" ht="51" x14ac:dyDescent="0.2">
      <c r="A944" s="35" t="str">
        <f>HYPERLINK("https://mississippidhs.jamacloud.com/perspective.req?projectId=53&amp;docId=28869","LSRP-SHRQ-935")</f>
        <v>LSRP-SHRQ-935</v>
      </c>
      <c r="B944" s="8" t="s">
        <v>1298</v>
      </c>
      <c r="C944" s="35" t="s">
        <v>401</v>
      </c>
      <c r="D944" s="36" t="s">
        <v>51</v>
      </c>
      <c r="E944" s="37" t="s">
        <v>779</v>
      </c>
      <c r="F944" s="35" t="s">
        <v>411</v>
      </c>
      <c r="G944" s="7"/>
      <c r="H944" s="7"/>
      <c r="I944" s="12"/>
    </row>
    <row r="945" spans="1:9" ht="38.25" x14ac:dyDescent="0.2">
      <c r="A945" s="35" t="str">
        <f>HYPERLINK("https://mississippidhs.jamacloud.com/perspective.req?projectId=53&amp;docId=28870","LSRP-SHRQ-936")</f>
        <v>LSRP-SHRQ-936</v>
      </c>
      <c r="B945" s="8" t="s">
        <v>1299</v>
      </c>
      <c r="C945" s="35" t="s">
        <v>401</v>
      </c>
      <c r="D945" s="36" t="s">
        <v>51</v>
      </c>
      <c r="E945" s="37" t="s">
        <v>779</v>
      </c>
      <c r="F945" s="35" t="s">
        <v>411</v>
      </c>
      <c r="G945" s="7"/>
      <c r="H945" s="7"/>
      <c r="I945" s="12"/>
    </row>
    <row r="946" spans="1:9" ht="127.5" x14ac:dyDescent="0.2">
      <c r="A946" s="35" t="str">
        <f>HYPERLINK("https://mississippidhs.jamacloud.com/perspective.req?projectId=53&amp;docId=28871","LSRP-SHRQ-937")</f>
        <v>LSRP-SHRQ-937</v>
      </c>
      <c r="B946" s="8" t="s">
        <v>1300</v>
      </c>
      <c r="C946" s="35" t="s">
        <v>401</v>
      </c>
      <c r="D946" s="36" t="s">
        <v>51</v>
      </c>
      <c r="E946" s="37" t="s">
        <v>779</v>
      </c>
      <c r="F946" s="35" t="s">
        <v>411</v>
      </c>
      <c r="G946" s="7"/>
      <c r="H946" s="7"/>
      <c r="I946" s="12"/>
    </row>
    <row r="947" spans="1:9" ht="51" x14ac:dyDescent="0.2">
      <c r="A947" s="35" t="str">
        <f>HYPERLINK("https://mississippidhs.jamacloud.com/perspective.req?projectId=53&amp;docId=28872","LSRP-SHRQ-938")</f>
        <v>LSRP-SHRQ-938</v>
      </c>
      <c r="B947" s="8" t="s">
        <v>1301</v>
      </c>
      <c r="C947" s="35" t="s">
        <v>401</v>
      </c>
      <c r="D947" s="36" t="s">
        <v>51</v>
      </c>
      <c r="E947" s="37" t="s">
        <v>779</v>
      </c>
      <c r="F947" s="35" t="s">
        <v>411</v>
      </c>
      <c r="G947" s="7"/>
      <c r="H947" s="7"/>
      <c r="I947" s="12"/>
    </row>
    <row r="948" spans="1:9" ht="25.5" x14ac:dyDescent="0.2">
      <c r="A948" s="35" t="str">
        <f>HYPERLINK("https://mississippidhs.jamacloud.com/perspective.req?projectId=53&amp;docId=28873","LSRP-SHRQ-939")</f>
        <v>LSRP-SHRQ-939</v>
      </c>
      <c r="B948" s="8" t="s">
        <v>1302</v>
      </c>
      <c r="C948" s="35" t="s">
        <v>401</v>
      </c>
      <c r="D948" s="36" t="s">
        <v>51</v>
      </c>
      <c r="E948" s="37" t="s">
        <v>779</v>
      </c>
      <c r="F948" s="35" t="s">
        <v>411</v>
      </c>
      <c r="G948" s="7"/>
      <c r="H948" s="7"/>
      <c r="I948" s="12"/>
    </row>
    <row r="949" spans="1:9" ht="76.5" x14ac:dyDescent="0.2">
      <c r="A949" s="35" t="str">
        <f>HYPERLINK("https://mississippidhs.jamacloud.com/perspective.req?projectId=53&amp;docId=28874","LSRP-SHRQ-940")</f>
        <v>LSRP-SHRQ-940</v>
      </c>
      <c r="B949" s="8" t="s">
        <v>1303</v>
      </c>
      <c r="C949" s="35" t="s">
        <v>401</v>
      </c>
      <c r="D949" s="36" t="s">
        <v>51</v>
      </c>
      <c r="E949" s="37" t="s">
        <v>779</v>
      </c>
      <c r="F949" s="35" t="s">
        <v>411</v>
      </c>
      <c r="G949" s="7"/>
      <c r="H949" s="7"/>
      <c r="I949" s="12"/>
    </row>
    <row r="950" spans="1:9" ht="25.5" x14ac:dyDescent="0.2">
      <c r="A950" s="35" t="str">
        <f>HYPERLINK("https://mississippidhs.jamacloud.com/perspective.req?projectId=53&amp;docId=28875","LSRP-SHRQ-941")</f>
        <v>LSRP-SHRQ-941</v>
      </c>
      <c r="B950" s="8" t="s">
        <v>1304</v>
      </c>
      <c r="C950" s="35" t="s">
        <v>401</v>
      </c>
      <c r="D950" s="36" t="s">
        <v>51</v>
      </c>
      <c r="E950" s="37" t="s">
        <v>779</v>
      </c>
      <c r="F950" s="35" t="s">
        <v>411</v>
      </c>
      <c r="G950" s="7"/>
      <c r="H950" s="7"/>
      <c r="I950" s="12"/>
    </row>
    <row r="951" spans="1:9" ht="51" x14ac:dyDescent="0.2">
      <c r="A951" s="35" t="str">
        <f>HYPERLINK("https://mississippidhs.jamacloud.com/perspective.req?projectId=53&amp;docId=28876","LSRP-SHRQ-942")</f>
        <v>LSRP-SHRQ-942</v>
      </c>
      <c r="B951" s="8" t="s">
        <v>1305</v>
      </c>
      <c r="C951" s="35" t="s">
        <v>401</v>
      </c>
      <c r="D951" s="36" t="s">
        <v>51</v>
      </c>
      <c r="E951" s="37" t="s">
        <v>779</v>
      </c>
      <c r="F951" s="35" t="s">
        <v>411</v>
      </c>
      <c r="G951" s="7"/>
      <c r="H951" s="7"/>
      <c r="I951" s="12"/>
    </row>
    <row r="952" spans="1:9" ht="51" x14ac:dyDescent="0.2">
      <c r="A952" s="35" t="str">
        <f>HYPERLINK("https://mississippidhs.jamacloud.com/perspective.req?projectId=53&amp;docId=28877","LSRP-SHRQ-943")</f>
        <v>LSRP-SHRQ-943</v>
      </c>
      <c r="B952" s="8" t="s">
        <v>1306</v>
      </c>
      <c r="C952" s="35" t="s">
        <v>401</v>
      </c>
      <c r="D952" s="36" t="s">
        <v>51</v>
      </c>
      <c r="E952" s="37" t="s">
        <v>779</v>
      </c>
      <c r="F952" s="35" t="s">
        <v>411</v>
      </c>
      <c r="G952" s="7"/>
      <c r="H952" s="7"/>
      <c r="I952" s="12"/>
    </row>
    <row r="953" spans="1:9" ht="25.5" x14ac:dyDescent="0.2">
      <c r="A953" s="35" t="str">
        <f>HYPERLINK("https://mississippidhs.jamacloud.com/perspective.req?projectId=53&amp;docId=28878","LSRP-SHRQ-944")</f>
        <v>LSRP-SHRQ-944</v>
      </c>
      <c r="B953" s="8" t="s">
        <v>1307</v>
      </c>
      <c r="C953" s="35" t="s">
        <v>401</v>
      </c>
      <c r="D953" s="36" t="s">
        <v>51</v>
      </c>
      <c r="E953" s="37" t="s">
        <v>779</v>
      </c>
      <c r="F953" s="35" t="s">
        <v>411</v>
      </c>
      <c r="G953" s="7"/>
      <c r="H953" s="7"/>
      <c r="I953" s="12"/>
    </row>
    <row r="954" spans="1:9" ht="38.25" x14ac:dyDescent="0.2">
      <c r="A954" s="35" t="str">
        <f>HYPERLINK("https://mississippidhs.jamacloud.com/perspective.req?projectId=53&amp;docId=28879","LSRP-SHRQ-945")</f>
        <v>LSRP-SHRQ-945</v>
      </c>
      <c r="B954" s="8" t="s">
        <v>1308</v>
      </c>
      <c r="C954" s="35" t="s">
        <v>401</v>
      </c>
      <c r="D954" s="36" t="s">
        <v>51</v>
      </c>
      <c r="E954" s="37" t="s">
        <v>779</v>
      </c>
      <c r="F954" s="35" t="s">
        <v>411</v>
      </c>
      <c r="G954" s="7"/>
      <c r="H954" s="7"/>
      <c r="I954" s="12"/>
    </row>
    <row r="955" spans="1:9" ht="38.25" x14ac:dyDescent="0.2">
      <c r="A955" s="35" t="str">
        <f>HYPERLINK("https://mississippidhs.jamacloud.com/perspective.req?projectId=53&amp;docId=28880","LSRP-SHRQ-946")</f>
        <v>LSRP-SHRQ-946</v>
      </c>
      <c r="B955" s="8" t="s">
        <v>1309</v>
      </c>
      <c r="C955" s="35" t="s">
        <v>401</v>
      </c>
      <c r="D955" s="36" t="s">
        <v>51</v>
      </c>
      <c r="E955" s="37" t="s">
        <v>779</v>
      </c>
      <c r="F955" s="35" t="s">
        <v>411</v>
      </c>
      <c r="G955" s="7"/>
      <c r="H955" s="7"/>
      <c r="I955" s="12"/>
    </row>
    <row r="956" spans="1:9" ht="38.25" x14ac:dyDescent="0.2">
      <c r="A956" s="35" t="str">
        <f>HYPERLINK("https://mississippidhs.jamacloud.com/perspective.req?projectId=53&amp;docId=28881","LSRP-SHRQ-947")</f>
        <v>LSRP-SHRQ-947</v>
      </c>
      <c r="B956" s="8" t="s">
        <v>1310</v>
      </c>
      <c r="C956" s="35" t="s">
        <v>401</v>
      </c>
      <c r="D956" s="36" t="s">
        <v>51</v>
      </c>
      <c r="E956" s="37" t="s">
        <v>779</v>
      </c>
      <c r="F956" s="35" t="s">
        <v>411</v>
      </c>
      <c r="G956" s="7"/>
      <c r="H956" s="7"/>
      <c r="I956" s="12"/>
    </row>
    <row r="957" spans="1:9" ht="51" x14ac:dyDescent="0.2">
      <c r="A957" s="35" t="str">
        <f>HYPERLINK("https://mississippidhs.jamacloud.com/perspective.req?projectId=53&amp;docId=28882","LSRP-SHRQ-948")</f>
        <v>LSRP-SHRQ-948</v>
      </c>
      <c r="B957" s="8" t="s">
        <v>1311</v>
      </c>
      <c r="C957" s="35" t="s">
        <v>401</v>
      </c>
      <c r="D957" s="36" t="s">
        <v>51</v>
      </c>
      <c r="E957" s="37" t="s">
        <v>779</v>
      </c>
      <c r="F957" s="35" t="s">
        <v>411</v>
      </c>
      <c r="G957" s="7"/>
      <c r="H957" s="7"/>
      <c r="I957" s="12"/>
    </row>
    <row r="958" spans="1:9" ht="38.25" x14ac:dyDescent="0.2">
      <c r="A958" s="35" t="str">
        <f>HYPERLINK("https://mississippidhs.jamacloud.com/perspective.req?projectId=53&amp;docId=28883","LSRP-SHRQ-949")</f>
        <v>LSRP-SHRQ-949</v>
      </c>
      <c r="B958" s="8" t="s">
        <v>1312</v>
      </c>
      <c r="C958" s="35" t="s">
        <v>401</v>
      </c>
      <c r="D958" s="36" t="s">
        <v>51</v>
      </c>
      <c r="E958" s="37" t="s">
        <v>779</v>
      </c>
      <c r="F958" s="35" t="s">
        <v>411</v>
      </c>
      <c r="G958" s="7"/>
      <c r="H958" s="7"/>
      <c r="I958" s="12"/>
    </row>
    <row r="959" spans="1:9" ht="51" x14ac:dyDescent="0.2">
      <c r="A959" s="35" t="str">
        <f>HYPERLINK("https://mississippidhs.jamacloud.com/perspective.req?projectId=53&amp;docId=28884","LSRP-SHRQ-950")</f>
        <v>LSRP-SHRQ-950</v>
      </c>
      <c r="B959" s="8" t="s">
        <v>1313</v>
      </c>
      <c r="C959" s="35" t="s">
        <v>401</v>
      </c>
      <c r="D959" s="36" t="s">
        <v>51</v>
      </c>
      <c r="E959" s="37" t="s">
        <v>779</v>
      </c>
      <c r="F959" s="35" t="s">
        <v>411</v>
      </c>
      <c r="G959" s="7"/>
      <c r="H959" s="7"/>
      <c r="I959" s="12"/>
    </row>
    <row r="960" spans="1:9" ht="25.5" x14ac:dyDescent="0.2">
      <c r="A960" s="35" t="str">
        <f>HYPERLINK("https://mississippidhs.jamacloud.com/perspective.req?projectId=53&amp;docId=28885","LSRP-SHRQ-951")</f>
        <v>LSRP-SHRQ-951</v>
      </c>
      <c r="B960" s="8" t="s">
        <v>1314</v>
      </c>
      <c r="C960" s="35" t="s">
        <v>401</v>
      </c>
      <c r="D960" s="36" t="s">
        <v>51</v>
      </c>
      <c r="E960" s="37" t="s">
        <v>779</v>
      </c>
      <c r="F960" s="35" t="s">
        <v>411</v>
      </c>
      <c r="G960" s="7"/>
      <c r="H960" s="7"/>
      <c r="I960" s="12"/>
    </row>
    <row r="961" spans="1:9" ht="25.5" x14ac:dyDescent="0.2">
      <c r="A961" s="35" t="str">
        <f>HYPERLINK("https://mississippidhs.jamacloud.com/perspective.req?projectId=53&amp;docId=28886","LSRP-SHRQ-952")</f>
        <v>LSRP-SHRQ-952</v>
      </c>
      <c r="B961" s="8" t="s">
        <v>1315</v>
      </c>
      <c r="C961" s="35" t="s">
        <v>401</v>
      </c>
      <c r="D961" s="36" t="s">
        <v>51</v>
      </c>
      <c r="E961" s="37" t="s">
        <v>779</v>
      </c>
      <c r="F961" s="35" t="s">
        <v>411</v>
      </c>
      <c r="G961" s="7"/>
      <c r="H961" s="7"/>
      <c r="I961" s="12"/>
    </row>
    <row r="962" spans="1:9" ht="25.5" x14ac:dyDescent="0.2">
      <c r="A962" s="35" t="str">
        <f>HYPERLINK("https://mississippidhs.jamacloud.com/perspective.req?projectId=53&amp;docId=28887","LSRP-SHRQ-953")</f>
        <v>LSRP-SHRQ-953</v>
      </c>
      <c r="B962" s="8" t="s">
        <v>1316</v>
      </c>
      <c r="C962" s="35" t="s">
        <v>401</v>
      </c>
      <c r="D962" s="36" t="s">
        <v>51</v>
      </c>
      <c r="E962" s="37" t="s">
        <v>779</v>
      </c>
      <c r="F962" s="35" t="s">
        <v>411</v>
      </c>
      <c r="G962" s="7"/>
      <c r="H962" s="7"/>
      <c r="I962" s="12"/>
    </row>
    <row r="963" spans="1:9" ht="14.25" x14ac:dyDescent="0.2">
      <c r="A963" s="35" t="str">
        <f>HYPERLINK("https://mississippidhs.jamacloud.com/perspective.req?projectId=53&amp;docId=28888","LSRP-SHRQ-954")</f>
        <v>LSRP-SHRQ-954</v>
      </c>
      <c r="B963" s="8" t="s">
        <v>1317</v>
      </c>
      <c r="C963" s="35" t="s">
        <v>401</v>
      </c>
      <c r="D963" s="36" t="s">
        <v>51</v>
      </c>
      <c r="E963" s="37" t="s">
        <v>779</v>
      </c>
      <c r="F963" s="35" t="s">
        <v>411</v>
      </c>
      <c r="G963" s="7"/>
      <c r="H963" s="7"/>
      <c r="I963" s="12"/>
    </row>
    <row r="964" spans="1:9" ht="38.25" x14ac:dyDescent="0.2">
      <c r="A964" s="35" t="str">
        <f>HYPERLINK("https://mississippidhs.jamacloud.com/perspective.req?projectId=53&amp;docId=28889","LSRP-SHRQ-955")</f>
        <v>LSRP-SHRQ-955</v>
      </c>
      <c r="B964" s="8" t="s">
        <v>1318</v>
      </c>
      <c r="C964" s="35" t="s">
        <v>401</v>
      </c>
      <c r="D964" s="36" t="s">
        <v>51</v>
      </c>
      <c r="E964" s="37" t="s">
        <v>779</v>
      </c>
      <c r="F964" s="35" t="s">
        <v>411</v>
      </c>
      <c r="G964" s="7"/>
      <c r="H964" s="7"/>
      <c r="I964" s="12"/>
    </row>
    <row r="965" spans="1:9" ht="38.25" x14ac:dyDescent="0.2">
      <c r="A965" s="35" t="str">
        <f>HYPERLINK("https://mississippidhs.jamacloud.com/perspective.req?projectId=53&amp;docId=28890","LSRP-SHRQ-956")</f>
        <v>LSRP-SHRQ-956</v>
      </c>
      <c r="B965" s="8" t="s">
        <v>1319</v>
      </c>
      <c r="C965" s="35" t="s">
        <v>401</v>
      </c>
      <c r="D965" s="36" t="s">
        <v>51</v>
      </c>
      <c r="E965" s="37" t="s">
        <v>779</v>
      </c>
      <c r="F965" s="35" t="s">
        <v>411</v>
      </c>
      <c r="G965" s="7"/>
      <c r="H965" s="7"/>
      <c r="I965" s="12"/>
    </row>
    <row r="966" spans="1:9" ht="38.25" x14ac:dyDescent="0.2">
      <c r="A966" s="35" t="str">
        <f>HYPERLINK("https://mississippidhs.jamacloud.com/perspective.req?projectId=53&amp;docId=28891","LSRP-SHRQ-957")</f>
        <v>LSRP-SHRQ-957</v>
      </c>
      <c r="B966" s="8" t="s">
        <v>1320</v>
      </c>
      <c r="C966" s="35" t="s">
        <v>401</v>
      </c>
      <c r="D966" s="36" t="s">
        <v>51</v>
      </c>
      <c r="E966" s="37" t="s">
        <v>779</v>
      </c>
      <c r="F966" s="35" t="s">
        <v>411</v>
      </c>
      <c r="G966" s="7"/>
      <c r="H966" s="7"/>
      <c r="I966" s="12"/>
    </row>
    <row r="967" spans="1:9" ht="38.25" x14ac:dyDescent="0.2">
      <c r="A967" s="35" t="str">
        <f>HYPERLINK("https://mississippidhs.jamacloud.com/perspective.req?projectId=53&amp;docId=28892","LSRP-SHRQ-958")</f>
        <v>LSRP-SHRQ-958</v>
      </c>
      <c r="B967" s="8" t="s">
        <v>1321</v>
      </c>
      <c r="C967" s="35" t="s">
        <v>401</v>
      </c>
      <c r="D967" s="36" t="s">
        <v>51</v>
      </c>
      <c r="E967" s="37" t="s">
        <v>779</v>
      </c>
      <c r="F967" s="35" t="s">
        <v>394</v>
      </c>
      <c r="G967" s="7"/>
      <c r="H967" s="7"/>
      <c r="I967" s="12"/>
    </row>
    <row r="968" spans="1:9" ht="25.5" x14ac:dyDescent="0.2">
      <c r="A968" s="35" t="str">
        <f>HYPERLINK("https://mississippidhs.jamacloud.com/perspective.req?projectId=53&amp;docId=28893","LSRP-SHRQ-959")</f>
        <v>LSRP-SHRQ-959</v>
      </c>
      <c r="B968" s="8" t="s">
        <v>1322</v>
      </c>
      <c r="C968" s="35" t="s">
        <v>401</v>
      </c>
      <c r="D968" s="36" t="s">
        <v>51</v>
      </c>
      <c r="E968" s="37" t="s">
        <v>779</v>
      </c>
      <c r="F968" s="35" t="s">
        <v>411</v>
      </c>
      <c r="G968" s="7"/>
      <c r="H968" s="7"/>
      <c r="I968" s="12"/>
    </row>
    <row r="969" spans="1:9" ht="38.25" x14ac:dyDescent="0.2">
      <c r="A969" s="35" t="str">
        <f>HYPERLINK("https://mississippidhs.jamacloud.com/perspective.req?projectId=53&amp;docId=28894","LSRP-SHRQ-960")</f>
        <v>LSRP-SHRQ-960</v>
      </c>
      <c r="B969" s="8" t="s">
        <v>1323</v>
      </c>
      <c r="C969" s="35" t="s">
        <v>401</v>
      </c>
      <c r="D969" s="36" t="s">
        <v>51</v>
      </c>
      <c r="E969" s="37" t="s">
        <v>779</v>
      </c>
      <c r="F969" s="35" t="s">
        <v>411</v>
      </c>
      <c r="G969" s="7"/>
      <c r="H969" s="7"/>
      <c r="I969" s="12"/>
    </row>
    <row r="970" spans="1:9" ht="51" x14ac:dyDescent="0.2">
      <c r="A970" s="35" t="str">
        <f>HYPERLINK("https://mississippidhs.jamacloud.com/perspective.req?projectId=53&amp;docId=28895","LSRP-SHRQ-961")</f>
        <v>LSRP-SHRQ-961</v>
      </c>
      <c r="B970" s="8" t="s">
        <v>1324</v>
      </c>
      <c r="C970" s="35" t="s">
        <v>401</v>
      </c>
      <c r="D970" s="36" t="s">
        <v>51</v>
      </c>
      <c r="E970" s="37" t="s">
        <v>779</v>
      </c>
      <c r="F970" s="35" t="s">
        <v>411</v>
      </c>
      <c r="G970" s="7"/>
      <c r="H970" s="7"/>
      <c r="I970" s="12"/>
    </row>
    <row r="971" spans="1:9" ht="38.25" x14ac:dyDescent="0.2">
      <c r="A971" s="35" t="str">
        <f>HYPERLINK("https://mississippidhs.jamacloud.com/perspective.req?projectId=53&amp;docId=28896","LSRP-SHRQ-962")</f>
        <v>LSRP-SHRQ-962</v>
      </c>
      <c r="B971" s="8" t="s">
        <v>1325</v>
      </c>
      <c r="C971" s="35" t="s">
        <v>401</v>
      </c>
      <c r="D971" s="36" t="s">
        <v>51</v>
      </c>
      <c r="E971" s="37" t="s">
        <v>779</v>
      </c>
      <c r="F971" s="35" t="s">
        <v>411</v>
      </c>
      <c r="G971" s="7"/>
      <c r="H971" s="7"/>
      <c r="I971" s="12"/>
    </row>
    <row r="972" spans="1:9" ht="38.25" x14ac:dyDescent="0.2">
      <c r="A972" s="35" t="str">
        <f>HYPERLINK("https://mississippidhs.jamacloud.com/perspective.req?projectId=53&amp;docId=28897","LSRP-SHRQ-963")</f>
        <v>LSRP-SHRQ-963</v>
      </c>
      <c r="B972" s="8" t="s">
        <v>1326</v>
      </c>
      <c r="C972" s="35" t="s">
        <v>401</v>
      </c>
      <c r="D972" s="36" t="s">
        <v>51</v>
      </c>
      <c r="E972" s="37" t="s">
        <v>779</v>
      </c>
      <c r="F972" s="35" t="s">
        <v>411</v>
      </c>
      <c r="G972" s="7"/>
      <c r="H972" s="7"/>
      <c r="I972" s="12"/>
    </row>
    <row r="973" spans="1:9" ht="38.25" x14ac:dyDescent="0.2">
      <c r="A973" s="35" t="str">
        <f>HYPERLINK("https://mississippidhs.jamacloud.com/perspective.req?projectId=53&amp;docId=28898","LSRP-SHRQ-964")</f>
        <v>LSRP-SHRQ-964</v>
      </c>
      <c r="B973" s="8" t="s">
        <v>1327</v>
      </c>
      <c r="C973" s="35" t="s">
        <v>401</v>
      </c>
      <c r="D973" s="36" t="s">
        <v>51</v>
      </c>
      <c r="E973" s="37" t="s">
        <v>779</v>
      </c>
      <c r="F973" s="35" t="s">
        <v>411</v>
      </c>
      <c r="G973" s="7"/>
      <c r="H973" s="7"/>
      <c r="I973" s="12"/>
    </row>
    <row r="974" spans="1:9" ht="25.5" x14ac:dyDescent="0.2">
      <c r="A974" s="35" t="str">
        <f>HYPERLINK("https://mississippidhs.jamacloud.com/perspective.req?projectId=53&amp;docId=28899","LSRP-SHRQ-965")</f>
        <v>LSRP-SHRQ-965</v>
      </c>
      <c r="B974" s="8" t="s">
        <v>1328</v>
      </c>
      <c r="C974" s="35" t="s">
        <v>401</v>
      </c>
      <c r="D974" s="36" t="s">
        <v>51</v>
      </c>
      <c r="E974" s="37" t="s">
        <v>779</v>
      </c>
      <c r="F974" s="35" t="s">
        <v>411</v>
      </c>
      <c r="G974" s="7"/>
      <c r="H974" s="7"/>
      <c r="I974" s="12"/>
    </row>
    <row r="975" spans="1:9" ht="38.25" x14ac:dyDescent="0.2">
      <c r="A975" s="35" t="str">
        <f>HYPERLINK("https://mississippidhs.jamacloud.com/perspective.req?projectId=53&amp;docId=28900","LSRP-SHRQ-966")</f>
        <v>LSRP-SHRQ-966</v>
      </c>
      <c r="B975" s="8" t="s">
        <v>1329</v>
      </c>
      <c r="C975" s="35" t="s">
        <v>401</v>
      </c>
      <c r="D975" s="36" t="s">
        <v>51</v>
      </c>
      <c r="E975" s="37" t="s">
        <v>779</v>
      </c>
      <c r="F975" s="35" t="s">
        <v>411</v>
      </c>
      <c r="G975" s="7"/>
      <c r="H975" s="7"/>
      <c r="I975" s="12"/>
    </row>
    <row r="976" spans="1:9" ht="14.25" x14ac:dyDescent="0.2">
      <c r="A976" s="35" t="str">
        <f>HYPERLINK("https://mississippidhs.jamacloud.com/perspective.req?projectId=53&amp;docId=28901","LSRP-SHRQ-967")</f>
        <v>LSRP-SHRQ-967</v>
      </c>
      <c r="B976" s="8" t="s">
        <v>1330</v>
      </c>
      <c r="C976" s="35" t="s">
        <v>401</v>
      </c>
      <c r="D976" s="36" t="s">
        <v>51</v>
      </c>
      <c r="E976" s="37" t="s">
        <v>779</v>
      </c>
      <c r="F976" s="35" t="s">
        <v>411</v>
      </c>
      <c r="G976" s="7"/>
      <c r="H976" s="7"/>
      <c r="I976" s="12"/>
    </row>
    <row r="977" spans="1:9" ht="25.5" x14ac:dyDescent="0.2">
      <c r="A977" s="35" t="str">
        <f>HYPERLINK("https://mississippidhs.jamacloud.com/perspective.req?projectId=53&amp;docId=28902","LSRP-SHRQ-968")</f>
        <v>LSRP-SHRQ-968</v>
      </c>
      <c r="B977" s="8" t="s">
        <v>1331</v>
      </c>
      <c r="C977" s="35" t="s">
        <v>401</v>
      </c>
      <c r="D977" s="36" t="s">
        <v>51</v>
      </c>
      <c r="E977" s="37" t="s">
        <v>779</v>
      </c>
      <c r="F977" s="35" t="s">
        <v>411</v>
      </c>
      <c r="G977" s="7"/>
      <c r="H977" s="7"/>
      <c r="I977" s="12"/>
    </row>
    <row r="978" spans="1:9" ht="38.25" x14ac:dyDescent="0.2">
      <c r="A978" s="35" t="str">
        <f>HYPERLINK("https://mississippidhs.jamacloud.com/perspective.req?projectId=53&amp;docId=28903","LSRP-SHRQ-969")</f>
        <v>LSRP-SHRQ-969</v>
      </c>
      <c r="B978" s="8" t="s">
        <v>1332</v>
      </c>
      <c r="C978" s="35" t="s">
        <v>401</v>
      </c>
      <c r="D978" s="36" t="s">
        <v>51</v>
      </c>
      <c r="E978" s="37" t="s">
        <v>779</v>
      </c>
      <c r="F978" s="35" t="s">
        <v>411</v>
      </c>
      <c r="G978" s="7"/>
      <c r="H978" s="7"/>
      <c r="I978" s="12"/>
    </row>
    <row r="979" spans="1:9" ht="38.25" x14ac:dyDescent="0.2">
      <c r="A979" s="35" t="str">
        <f>HYPERLINK("https://mississippidhs.jamacloud.com/perspective.req?projectId=53&amp;docId=28904","LSRP-SHRQ-970")</f>
        <v>LSRP-SHRQ-970</v>
      </c>
      <c r="B979" s="8" t="s">
        <v>1333</v>
      </c>
      <c r="C979" s="35" t="s">
        <v>401</v>
      </c>
      <c r="D979" s="36" t="s">
        <v>51</v>
      </c>
      <c r="E979" s="37" t="s">
        <v>779</v>
      </c>
      <c r="F979" s="35" t="s">
        <v>411</v>
      </c>
      <c r="G979" s="7"/>
      <c r="H979" s="7"/>
      <c r="I979" s="12"/>
    </row>
    <row r="980" spans="1:9" ht="25.5" x14ac:dyDescent="0.2">
      <c r="A980" s="35" t="str">
        <f>HYPERLINK("https://mississippidhs.jamacloud.com/perspective.req?projectId=53&amp;docId=28905","LSRP-SHRQ-971")</f>
        <v>LSRP-SHRQ-971</v>
      </c>
      <c r="B980" s="8" t="s">
        <v>1334</v>
      </c>
      <c r="C980" s="35" t="s">
        <v>401</v>
      </c>
      <c r="D980" s="36" t="s">
        <v>51</v>
      </c>
      <c r="E980" s="37" t="s">
        <v>779</v>
      </c>
      <c r="F980" s="35" t="s">
        <v>411</v>
      </c>
      <c r="G980" s="7"/>
      <c r="H980" s="7"/>
      <c r="I980" s="12"/>
    </row>
    <row r="981" spans="1:9" ht="63.75" x14ac:dyDescent="0.2">
      <c r="A981" s="35" t="str">
        <f>HYPERLINK("https://mississippidhs.jamacloud.com/perspective.req?projectId=53&amp;docId=28906","LSRP-SHRQ-972")</f>
        <v>LSRP-SHRQ-972</v>
      </c>
      <c r="B981" s="8" t="s">
        <v>1335</v>
      </c>
      <c r="C981" s="35" t="s">
        <v>401</v>
      </c>
      <c r="D981" s="36" t="s">
        <v>51</v>
      </c>
      <c r="E981" s="37" t="s">
        <v>779</v>
      </c>
      <c r="F981" s="35" t="s">
        <v>411</v>
      </c>
      <c r="G981" s="7"/>
      <c r="H981" s="7"/>
      <c r="I981" s="12"/>
    </row>
    <row r="982" spans="1:9" ht="51" x14ac:dyDescent="0.2">
      <c r="A982" s="35" t="str">
        <f>HYPERLINK("https://mississippidhs.jamacloud.com/perspective.req?projectId=53&amp;docId=28907","LSRP-SHRQ-973")</f>
        <v>LSRP-SHRQ-973</v>
      </c>
      <c r="B982" s="8" t="s">
        <v>1336</v>
      </c>
      <c r="C982" s="35" t="s">
        <v>401</v>
      </c>
      <c r="D982" s="36" t="s">
        <v>51</v>
      </c>
      <c r="E982" s="37" t="s">
        <v>779</v>
      </c>
      <c r="F982" s="35" t="s">
        <v>411</v>
      </c>
      <c r="G982" s="7"/>
      <c r="H982" s="7"/>
      <c r="I982" s="12"/>
    </row>
    <row r="983" spans="1:9" ht="51" x14ac:dyDescent="0.2">
      <c r="A983" s="35" t="str">
        <f>HYPERLINK("https://mississippidhs.jamacloud.com/perspective.req?projectId=53&amp;docId=28908","LSRP-SHRQ-974")</f>
        <v>LSRP-SHRQ-974</v>
      </c>
      <c r="B983" s="8" t="s">
        <v>1337</v>
      </c>
      <c r="C983" s="35" t="s">
        <v>401</v>
      </c>
      <c r="D983" s="36" t="s">
        <v>51</v>
      </c>
      <c r="E983" s="37" t="s">
        <v>779</v>
      </c>
      <c r="F983" s="35" t="s">
        <v>411</v>
      </c>
      <c r="G983" s="7"/>
      <c r="H983" s="7"/>
      <c r="I983" s="12"/>
    </row>
    <row r="984" spans="1:9" ht="25.5" x14ac:dyDescent="0.2">
      <c r="A984" s="35" t="str">
        <f>HYPERLINK("https://mississippidhs.jamacloud.com/perspective.req?projectId=53&amp;docId=28909","LSRP-SHRQ-975")</f>
        <v>LSRP-SHRQ-975</v>
      </c>
      <c r="B984" s="8" t="s">
        <v>1338</v>
      </c>
      <c r="C984" s="35" t="s">
        <v>401</v>
      </c>
      <c r="D984" s="36" t="s">
        <v>51</v>
      </c>
      <c r="E984" s="37" t="s">
        <v>779</v>
      </c>
      <c r="F984" s="35" t="s">
        <v>411</v>
      </c>
      <c r="G984" s="7"/>
      <c r="H984" s="7"/>
      <c r="I984" s="12"/>
    </row>
    <row r="985" spans="1:9" ht="63.75" x14ac:dyDescent="0.2">
      <c r="A985" s="35" t="str">
        <f>HYPERLINK("https://mississippidhs.jamacloud.com/perspective.req?projectId=53&amp;docId=28910","LSRP-SHRQ-976")</f>
        <v>LSRP-SHRQ-976</v>
      </c>
      <c r="B985" s="8" t="s">
        <v>1339</v>
      </c>
      <c r="C985" s="35" t="s">
        <v>401</v>
      </c>
      <c r="D985" s="36" t="s">
        <v>51</v>
      </c>
      <c r="E985" s="37" t="s">
        <v>779</v>
      </c>
      <c r="F985" s="35" t="s">
        <v>411</v>
      </c>
      <c r="G985" s="7"/>
      <c r="H985" s="7"/>
      <c r="I985" s="12"/>
    </row>
    <row r="986" spans="1:9" ht="38.25" x14ac:dyDescent="0.2">
      <c r="A986" s="35" t="str">
        <f>HYPERLINK("https://mississippidhs.jamacloud.com/perspective.req?projectId=53&amp;docId=28911","LSRP-SHRQ-977")</f>
        <v>LSRP-SHRQ-977</v>
      </c>
      <c r="B986" s="8" t="s">
        <v>1340</v>
      </c>
      <c r="C986" s="35" t="s">
        <v>401</v>
      </c>
      <c r="D986" s="36" t="s">
        <v>51</v>
      </c>
      <c r="E986" s="37" t="s">
        <v>779</v>
      </c>
      <c r="F986" s="35" t="s">
        <v>411</v>
      </c>
      <c r="G986" s="7"/>
      <c r="H986" s="7"/>
      <c r="I986" s="12"/>
    </row>
    <row r="987" spans="1:9" ht="51" x14ac:dyDescent="0.2">
      <c r="A987" s="35" t="str">
        <f>HYPERLINK("https://mississippidhs.jamacloud.com/perspective.req?projectId=53&amp;docId=28912","LSRP-SHRQ-978")</f>
        <v>LSRP-SHRQ-978</v>
      </c>
      <c r="B987" s="8" t="s">
        <v>1341</v>
      </c>
      <c r="C987" s="35" t="s">
        <v>401</v>
      </c>
      <c r="D987" s="36" t="s">
        <v>51</v>
      </c>
      <c r="E987" s="37" t="s">
        <v>779</v>
      </c>
      <c r="F987" s="35" t="s">
        <v>411</v>
      </c>
      <c r="G987" s="7"/>
      <c r="H987" s="7"/>
      <c r="I987" s="12"/>
    </row>
    <row r="988" spans="1:9" ht="38.25" x14ac:dyDescent="0.2">
      <c r="A988" s="35" t="str">
        <f>HYPERLINK("https://mississippidhs.jamacloud.com/perspective.req?projectId=53&amp;docId=28913","LSRP-SHRQ-979")</f>
        <v>LSRP-SHRQ-979</v>
      </c>
      <c r="B988" s="8" t="s">
        <v>1342</v>
      </c>
      <c r="C988" s="35" t="s">
        <v>401</v>
      </c>
      <c r="D988" s="36" t="s">
        <v>51</v>
      </c>
      <c r="E988" s="37" t="s">
        <v>779</v>
      </c>
      <c r="F988" s="35" t="s">
        <v>411</v>
      </c>
      <c r="G988" s="7"/>
      <c r="H988" s="7"/>
      <c r="I988" s="12"/>
    </row>
    <row r="989" spans="1:9" ht="14.25" x14ac:dyDescent="0.2">
      <c r="A989" s="35" t="str">
        <f>HYPERLINK("https://mississippidhs.jamacloud.com/perspective.req?projectId=53&amp;docId=28914","LSRP-SHRQ-980")</f>
        <v>LSRP-SHRQ-980</v>
      </c>
      <c r="B989" s="8" t="s">
        <v>1343</v>
      </c>
      <c r="C989" s="35" t="s">
        <v>401</v>
      </c>
      <c r="D989" s="36" t="s">
        <v>51</v>
      </c>
      <c r="E989" s="37" t="s">
        <v>779</v>
      </c>
      <c r="F989" s="35" t="s">
        <v>411</v>
      </c>
      <c r="G989" s="7"/>
      <c r="H989" s="7"/>
      <c r="I989" s="12"/>
    </row>
    <row r="990" spans="1:9" ht="25.5" x14ac:dyDescent="0.2">
      <c r="A990" s="35" t="str">
        <f>HYPERLINK("https://mississippidhs.jamacloud.com/perspective.req?projectId=53&amp;docId=28915","LSRP-SHRQ-981")</f>
        <v>LSRP-SHRQ-981</v>
      </c>
      <c r="B990" s="8" t="s">
        <v>1344</v>
      </c>
      <c r="C990" s="35" t="s">
        <v>401</v>
      </c>
      <c r="D990" s="36" t="s">
        <v>51</v>
      </c>
      <c r="E990" s="37" t="s">
        <v>779</v>
      </c>
      <c r="F990" s="35" t="s">
        <v>411</v>
      </c>
      <c r="G990" s="7"/>
      <c r="H990" s="7"/>
      <c r="I990" s="12"/>
    </row>
    <row r="991" spans="1:9" ht="25.5" x14ac:dyDescent="0.2">
      <c r="A991" s="35" t="str">
        <f>HYPERLINK("https://mississippidhs.jamacloud.com/perspective.req?projectId=53&amp;docId=28916","LSRP-SHRQ-982")</f>
        <v>LSRP-SHRQ-982</v>
      </c>
      <c r="B991" s="8" t="s">
        <v>1345</v>
      </c>
      <c r="C991" s="35" t="s">
        <v>401</v>
      </c>
      <c r="D991" s="36" t="s">
        <v>51</v>
      </c>
      <c r="E991" s="37" t="s">
        <v>779</v>
      </c>
      <c r="F991" s="35" t="s">
        <v>411</v>
      </c>
      <c r="G991" s="7"/>
      <c r="H991" s="7"/>
      <c r="I991" s="12"/>
    </row>
    <row r="992" spans="1:9" ht="25.5" x14ac:dyDescent="0.2">
      <c r="A992" s="35" t="str">
        <f>HYPERLINK("https://mississippidhs.jamacloud.com/perspective.req?projectId=53&amp;docId=28917","LSRP-SHRQ-983")</f>
        <v>LSRP-SHRQ-983</v>
      </c>
      <c r="B992" s="8" t="s">
        <v>1346</v>
      </c>
      <c r="C992" s="35" t="s">
        <v>401</v>
      </c>
      <c r="D992" s="36" t="s">
        <v>51</v>
      </c>
      <c r="E992" s="37" t="s">
        <v>779</v>
      </c>
      <c r="F992" s="35" t="s">
        <v>411</v>
      </c>
      <c r="G992" s="7"/>
      <c r="H992" s="7"/>
      <c r="I992" s="12"/>
    </row>
    <row r="993" spans="1:9" ht="25.5" x14ac:dyDescent="0.2">
      <c r="A993" s="35" t="str">
        <f>HYPERLINK("https://mississippidhs.jamacloud.com/perspective.req?projectId=53&amp;docId=28919","LSRP-SHRQ-984")</f>
        <v>LSRP-SHRQ-984</v>
      </c>
      <c r="B993" s="8" t="s">
        <v>1347</v>
      </c>
      <c r="C993" s="35" t="s">
        <v>401</v>
      </c>
      <c r="D993" s="36" t="s">
        <v>49</v>
      </c>
      <c r="E993" s="37" t="s">
        <v>779</v>
      </c>
      <c r="F993" s="35" t="s">
        <v>322</v>
      </c>
      <c r="G993" s="7"/>
      <c r="H993" s="7"/>
      <c r="I993" s="12"/>
    </row>
    <row r="994" spans="1:9" ht="25.5" x14ac:dyDescent="0.2">
      <c r="A994" s="35" t="str">
        <f>HYPERLINK("https://mississippidhs.jamacloud.com/perspective.req?projectId=53&amp;docId=28920","LSRP-SHRQ-985")</f>
        <v>LSRP-SHRQ-985</v>
      </c>
      <c r="B994" s="8" t="s">
        <v>1348</v>
      </c>
      <c r="C994" s="35" t="s">
        <v>401</v>
      </c>
      <c r="D994" s="36" t="s">
        <v>49</v>
      </c>
      <c r="E994" s="37" t="s">
        <v>779</v>
      </c>
      <c r="F994" s="35" t="s">
        <v>322</v>
      </c>
      <c r="G994" s="7"/>
      <c r="H994" s="7"/>
      <c r="I994" s="12"/>
    </row>
    <row r="995" spans="1:9" ht="25.5" x14ac:dyDescent="0.2">
      <c r="A995" s="35" t="str">
        <f>HYPERLINK("https://mississippidhs.jamacloud.com/perspective.req?projectId=53&amp;docId=28921","LSRP-SHRQ-986")</f>
        <v>LSRP-SHRQ-986</v>
      </c>
      <c r="B995" s="8" t="s">
        <v>1349</v>
      </c>
      <c r="C995" s="35" t="s">
        <v>401</v>
      </c>
      <c r="D995" s="36" t="s">
        <v>49</v>
      </c>
      <c r="E995" s="37" t="s">
        <v>779</v>
      </c>
      <c r="F995" s="35" t="s">
        <v>322</v>
      </c>
      <c r="G995" s="7"/>
      <c r="H995" s="7"/>
      <c r="I995" s="12"/>
    </row>
    <row r="996" spans="1:9" ht="25.5" x14ac:dyDescent="0.2">
      <c r="A996" s="35" t="str">
        <f>HYPERLINK("https://mississippidhs.jamacloud.com/perspective.req?projectId=53&amp;docId=28922","LSRP-SHRQ-987")</f>
        <v>LSRP-SHRQ-987</v>
      </c>
      <c r="B996" s="8" t="s">
        <v>1350</v>
      </c>
      <c r="C996" s="35" t="s">
        <v>401</v>
      </c>
      <c r="D996" s="36" t="s">
        <v>49</v>
      </c>
      <c r="E996" s="37" t="s">
        <v>779</v>
      </c>
      <c r="F996" s="35" t="s">
        <v>322</v>
      </c>
      <c r="G996" s="7"/>
      <c r="H996" s="7"/>
      <c r="I996" s="12"/>
    </row>
    <row r="997" spans="1:9" ht="25.5" x14ac:dyDescent="0.2">
      <c r="A997" s="35" t="str">
        <f>HYPERLINK("https://mississippidhs.jamacloud.com/perspective.req?projectId=53&amp;docId=28923","LSRP-SHRQ-988")</f>
        <v>LSRP-SHRQ-988</v>
      </c>
      <c r="B997" s="8" t="s">
        <v>1351</v>
      </c>
      <c r="C997" s="35" t="s">
        <v>401</v>
      </c>
      <c r="D997" s="36" t="s">
        <v>49</v>
      </c>
      <c r="E997" s="37" t="s">
        <v>779</v>
      </c>
      <c r="F997" s="35" t="s">
        <v>322</v>
      </c>
      <c r="G997" s="7"/>
      <c r="H997" s="7"/>
      <c r="I997" s="12"/>
    </row>
    <row r="998" spans="1:9" ht="38.25" x14ac:dyDescent="0.2">
      <c r="A998" s="35" t="str">
        <f>HYPERLINK("https://mississippidhs.jamacloud.com/perspective.req?projectId=53&amp;docId=28924","LSRP-SHRQ-989")</f>
        <v>LSRP-SHRQ-989</v>
      </c>
      <c r="B998" s="8" t="s">
        <v>1352</v>
      </c>
      <c r="C998" s="35" t="s">
        <v>401</v>
      </c>
      <c r="D998" s="36" t="s">
        <v>49</v>
      </c>
      <c r="E998" s="37" t="s">
        <v>779</v>
      </c>
      <c r="F998" s="35" t="s">
        <v>322</v>
      </c>
      <c r="G998" s="7"/>
      <c r="H998" s="7"/>
      <c r="I998" s="12"/>
    </row>
    <row r="999" spans="1:9" ht="25.5" x14ac:dyDescent="0.2">
      <c r="A999" s="35" t="str">
        <f>HYPERLINK("https://mississippidhs.jamacloud.com/perspective.req?projectId=53&amp;docId=28925","LSRP-SHRQ-990")</f>
        <v>LSRP-SHRQ-990</v>
      </c>
      <c r="B999" s="8" t="s">
        <v>1353</v>
      </c>
      <c r="C999" s="35" t="s">
        <v>401</v>
      </c>
      <c r="D999" s="36" t="s">
        <v>49</v>
      </c>
      <c r="E999" s="37" t="s">
        <v>779</v>
      </c>
      <c r="F999" s="35" t="s">
        <v>322</v>
      </c>
      <c r="G999" s="7"/>
      <c r="H999" s="7"/>
      <c r="I999" s="12"/>
    </row>
    <row r="1000" spans="1:9" ht="25.5" x14ac:dyDescent="0.2">
      <c r="A1000" s="35" t="str">
        <f>HYPERLINK("https://mississippidhs.jamacloud.com/perspective.req?projectId=53&amp;docId=28926","LSRP-SHRQ-991")</f>
        <v>LSRP-SHRQ-991</v>
      </c>
      <c r="B1000" s="8" t="s">
        <v>1354</v>
      </c>
      <c r="C1000" s="35" t="s">
        <v>401</v>
      </c>
      <c r="D1000" s="36" t="s">
        <v>49</v>
      </c>
      <c r="E1000" s="37" t="s">
        <v>779</v>
      </c>
      <c r="F1000" s="35" t="s">
        <v>322</v>
      </c>
      <c r="G1000" s="7"/>
      <c r="H1000" s="7"/>
      <c r="I1000" s="12"/>
    </row>
    <row r="1001" spans="1:9" ht="25.5" x14ac:dyDescent="0.2">
      <c r="A1001" s="35" t="str">
        <f>HYPERLINK("https://mississippidhs.jamacloud.com/perspective.req?projectId=53&amp;docId=28927","LSRP-SHRQ-992")</f>
        <v>LSRP-SHRQ-992</v>
      </c>
      <c r="B1001" s="8" t="s">
        <v>1355</v>
      </c>
      <c r="C1001" s="35" t="s">
        <v>401</v>
      </c>
      <c r="D1001" s="36" t="s">
        <v>49</v>
      </c>
      <c r="E1001" s="37" t="s">
        <v>779</v>
      </c>
      <c r="F1001" s="35" t="s">
        <v>322</v>
      </c>
      <c r="G1001" s="7"/>
      <c r="H1001" s="7"/>
      <c r="I1001" s="12"/>
    </row>
    <row r="1002" spans="1:9" ht="38.25" x14ac:dyDescent="0.2">
      <c r="A1002" s="35" t="str">
        <f>HYPERLINK("https://mississippidhs.jamacloud.com/perspective.req?projectId=53&amp;docId=28928","LSRP-SHRQ-993")</f>
        <v>LSRP-SHRQ-993</v>
      </c>
      <c r="B1002" s="8" t="s">
        <v>1356</v>
      </c>
      <c r="C1002" s="35" t="s">
        <v>401</v>
      </c>
      <c r="D1002" s="36" t="s">
        <v>49</v>
      </c>
      <c r="E1002" s="37" t="s">
        <v>779</v>
      </c>
      <c r="F1002" s="35" t="s">
        <v>411</v>
      </c>
      <c r="G1002" s="7"/>
      <c r="H1002" s="7"/>
      <c r="I1002" s="12"/>
    </row>
    <row r="1003" spans="1:9" ht="38.25" x14ac:dyDescent="0.2">
      <c r="A1003" s="35" t="str">
        <f>HYPERLINK("https://mississippidhs.jamacloud.com/perspective.req?projectId=53&amp;docId=28929","LSRP-SHRQ-994")</f>
        <v>LSRP-SHRQ-994</v>
      </c>
      <c r="B1003" s="8" t="s">
        <v>1357</v>
      </c>
      <c r="C1003" s="35" t="s">
        <v>401</v>
      </c>
      <c r="D1003" s="36" t="s">
        <v>49</v>
      </c>
      <c r="E1003" s="37" t="s">
        <v>779</v>
      </c>
      <c r="F1003" s="35" t="s">
        <v>322</v>
      </c>
      <c r="G1003" s="7"/>
      <c r="H1003" s="7"/>
      <c r="I1003" s="12"/>
    </row>
    <row r="1004" spans="1:9" ht="38.25" x14ac:dyDescent="0.2">
      <c r="A1004" s="35" t="str">
        <f>HYPERLINK("https://mississippidhs.jamacloud.com/perspective.req?projectId=53&amp;docId=28930","LSRP-SHRQ-995")</f>
        <v>LSRP-SHRQ-995</v>
      </c>
      <c r="B1004" s="8" t="s">
        <v>1358</v>
      </c>
      <c r="C1004" s="35" t="s">
        <v>401</v>
      </c>
      <c r="D1004" s="36" t="s">
        <v>49</v>
      </c>
      <c r="E1004" s="37" t="s">
        <v>779</v>
      </c>
      <c r="F1004" s="35" t="s">
        <v>322</v>
      </c>
      <c r="G1004" s="7"/>
      <c r="H1004" s="7"/>
      <c r="I1004" s="12"/>
    </row>
    <row r="1005" spans="1:9" ht="38.25" x14ac:dyDescent="0.2">
      <c r="A1005" s="35" t="str">
        <f>HYPERLINK("https://mississippidhs.jamacloud.com/perspective.req?projectId=53&amp;docId=28931","LSRP-SHRQ-996")</f>
        <v>LSRP-SHRQ-996</v>
      </c>
      <c r="B1005" s="8" t="s">
        <v>1359</v>
      </c>
      <c r="C1005" s="35" t="s">
        <v>401</v>
      </c>
      <c r="D1005" s="36" t="s">
        <v>49</v>
      </c>
      <c r="E1005" s="37" t="s">
        <v>779</v>
      </c>
      <c r="F1005" s="35" t="s">
        <v>322</v>
      </c>
      <c r="G1005" s="7"/>
      <c r="H1005" s="7"/>
      <c r="I1005" s="12"/>
    </row>
    <row r="1006" spans="1:9" ht="38.25" x14ac:dyDescent="0.2">
      <c r="A1006" s="35" t="str">
        <f>HYPERLINK("https://mississippidhs.jamacloud.com/perspective.req?projectId=53&amp;docId=28932","LSRP-SHRQ-997")</f>
        <v>LSRP-SHRQ-997</v>
      </c>
      <c r="B1006" s="8" t="s">
        <v>1360</v>
      </c>
      <c r="C1006" s="35" t="s">
        <v>401</v>
      </c>
      <c r="D1006" s="36" t="s">
        <v>49</v>
      </c>
      <c r="E1006" s="37" t="s">
        <v>779</v>
      </c>
      <c r="F1006" s="35" t="s">
        <v>322</v>
      </c>
      <c r="G1006" s="7"/>
      <c r="H1006" s="7"/>
      <c r="I1006" s="12"/>
    </row>
    <row r="1007" spans="1:9" ht="25.5" x14ac:dyDescent="0.2">
      <c r="A1007" s="35" t="str">
        <f>HYPERLINK("https://mississippidhs.jamacloud.com/perspective.req?projectId=53&amp;docId=28933","LSRP-SHRQ-998")</f>
        <v>LSRP-SHRQ-998</v>
      </c>
      <c r="B1007" s="8" t="s">
        <v>1361</v>
      </c>
      <c r="C1007" s="35" t="s">
        <v>401</v>
      </c>
      <c r="D1007" s="36" t="s">
        <v>49</v>
      </c>
      <c r="E1007" s="37" t="s">
        <v>779</v>
      </c>
      <c r="F1007" s="35" t="s">
        <v>452</v>
      </c>
      <c r="G1007" s="7"/>
      <c r="H1007" s="7"/>
      <c r="I1007" s="12"/>
    </row>
    <row r="1008" spans="1:9" ht="38.25" x14ac:dyDescent="0.2">
      <c r="A1008" s="35" t="str">
        <f>HYPERLINK("https://mississippidhs.jamacloud.com/perspective.req?projectId=53&amp;docId=28934","LSRP-SHRQ-999")</f>
        <v>LSRP-SHRQ-999</v>
      </c>
      <c r="B1008" s="8" t="s">
        <v>1362</v>
      </c>
      <c r="C1008" s="35" t="s">
        <v>401</v>
      </c>
      <c r="D1008" s="36" t="s">
        <v>49</v>
      </c>
      <c r="E1008" s="37" t="s">
        <v>779</v>
      </c>
      <c r="F1008" s="35" t="s">
        <v>322</v>
      </c>
      <c r="G1008" s="7"/>
      <c r="H1008" s="7"/>
      <c r="I1008" s="12"/>
    </row>
    <row r="1009" spans="1:9" ht="38.25" x14ac:dyDescent="0.2">
      <c r="A1009" s="35" t="str">
        <f>HYPERLINK("https://mississippidhs.jamacloud.com/perspective.req?projectId=53&amp;docId=28935","LSRP-SHRQ-1000")</f>
        <v>LSRP-SHRQ-1000</v>
      </c>
      <c r="B1009" s="8" t="s">
        <v>1363</v>
      </c>
      <c r="C1009" s="35" t="s">
        <v>401</v>
      </c>
      <c r="D1009" s="36" t="s">
        <v>49</v>
      </c>
      <c r="E1009" s="37" t="s">
        <v>779</v>
      </c>
      <c r="F1009" s="35" t="s">
        <v>322</v>
      </c>
      <c r="G1009" s="7"/>
      <c r="H1009" s="7"/>
      <c r="I1009" s="12"/>
    </row>
    <row r="1010" spans="1:9" ht="25.5" x14ac:dyDescent="0.2">
      <c r="A1010" s="35" t="str">
        <f>HYPERLINK("https://mississippidhs.jamacloud.com/perspective.req?projectId=53&amp;docId=28936","LSRP-SHRQ-1001")</f>
        <v>LSRP-SHRQ-1001</v>
      </c>
      <c r="B1010" s="8" t="s">
        <v>1364</v>
      </c>
      <c r="C1010" s="35" t="s">
        <v>401</v>
      </c>
      <c r="D1010" s="36" t="s">
        <v>49</v>
      </c>
      <c r="E1010" s="37" t="s">
        <v>779</v>
      </c>
      <c r="F1010" s="35" t="s">
        <v>394</v>
      </c>
      <c r="G1010" s="7"/>
      <c r="H1010" s="7"/>
      <c r="I1010" s="12"/>
    </row>
    <row r="1011" spans="1:9" ht="25.5" x14ac:dyDescent="0.2">
      <c r="A1011" s="35" t="str">
        <f>HYPERLINK("https://mississippidhs.jamacloud.com/perspective.req?projectId=53&amp;docId=28937","LSRP-SHRQ-1002")</f>
        <v>LSRP-SHRQ-1002</v>
      </c>
      <c r="B1011" s="8" t="s">
        <v>1365</v>
      </c>
      <c r="C1011" s="35" t="s">
        <v>401</v>
      </c>
      <c r="D1011" s="36" t="s">
        <v>49</v>
      </c>
      <c r="E1011" s="37" t="s">
        <v>779</v>
      </c>
      <c r="F1011" s="35" t="s">
        <v>322</v>
      </c>
      <c r="G1011" s="7"/>
      <c r="H1011" s="7"/>
      <c r="I1011" s="12"/>
    </row>
    <row r="1012" spans="1:9" ht="25.5" x14ac:dyDescent="0.2">
      <c r="A1012" s="35" t="str">
        <f>HYPERLINK("https://mississippidhs.jamacloud.com/perspective.req?projectId=53&amp;docId=28938","LSRP-SHRQ-1003")</f>
        <v>LSRP-SHRQ-1003</v>
      </c>
      <c r="B1012" s="8" t="s">
        <v>1366</v>
      </c>
      <c r="C1012" s="35" t="s">
        <v>401</v>
      </c>
      <c r="D1012" s="36" t="s">
        <v>49</v>
      </c>
      <c r="E1012" s="37" t="s">
        <v>779</v>
      </c>
      <c r="F1012" s="35" t="s">
        <v>322</v>
      </c>
      <c r="G1012" s="7"/>
      <c r="H1012" s="7"/>
      <c r="I1012" s="12"/>
    </row>
    <row r="1013" spans="1:9" ht="38.25" x14ac:dyDescent="0.2">
      <c r="A1013" s="35" t="str">
        <f>HYPERLINK("https://mississippidhs.jamacloud.com/perspective.req?projectId=53&amp;docId=28939","LSRP-SHRQ-1004")</f>
        <v>LSRP-SHRQ-1004</v>
      </c>
      <c r="B1013" s="8" t="s">
        <v>1367</v>
      </c>
      <c r="C1013" s="35" t="s">
        <v>401</v>
      </c>
      <c r="D1013" s="36" t="s">
        <v>49</v>
      </c>
      <c r="E1013" s="37" t="s">
        <v>779</v>
      </c>
      <c r="F1013" s="35" t="s">
        <v>322</v>
      </c>
      <c r="G1013" s="7"/>
      <c r="H1013" s="7"/>
      <c r="I1013" s="12"/>
    </row>
    <row r="1014" spans="1:9" ht="38.25" x14ac:dyDescent="0.2">
      <c r="A1014" s="35" t="str">
        <f>HYPERLINK("https://mississippidhs.jamacloud.com/perspective.req?projectId=53&amp;docId=28940","LSRP-SHRQ-1005")</f>
        <v>LSRP-SHRQ-1005</v>
      </c>
      <c r="B1014" s="8" t="s">
        <v>1368</v>
      </c>
      <c r="C1014" s="35" t="s">
        <v>401</v>
      </c>
      <c r="D1014" s="36" t="s">
        <v>49</v>
      </c>
      <c r="E1014" s="37" t="s">
        <v>779</v>
      </c>
      <c r="F1014" s="35" t="s">
        <v>394</v>
      </c>
      <c r="G1014" s="7"/>
      <c r="H1014" s="7"/>
      <c r="I1014" s="12"/>
    </row>
    <row r="1015" spans="1:9" ht="51" x14ac:dyDescent="0.2">
      <c r="A1015" s="35" t="str">
        <f>HYPERLINK("https://mississippidhs.jamacloud.com/perspective.req?projectId=53&amp;docId=28942","LSRP-SHRQ-1006")</f>
        <v>LSRP-SHRQ-1006</v>
      </c>
      <c r="B1015" s="39" t="s">
        <v>1369</v>
      </c>
      <c r="C1015" s="35" t="s">
        <v>319</v>
      </c>
      <c r="D1015" s="36" t="s">
        <v>1370</v>
      </c>
      <c r="E1015" s="37" t="s">
        <v>779</v>
      </c>
      <c r="F1015" s="35" t="s">
        <v>322</v>
      </c>
      <c r="G1015" s="7"/>
      <c r="H1015" s="7"/>
      <c r="I1015" s="12"/>
    </row>
    <row r="1016" spans="1:9" ht="14.25" x14ac:dyDescent="0.2">
      <c r="A1016" s="35" t="str">
        <f>HYPERLINK("https://mississippidhs.jamacloud.com/perspective.req?projectId=53&amp;docId=28943","LSRP-SHRQ-1007")</f>
        <v>LSRP-SHRQ-1007</v>
      </c>
      <c r="B1016" s="8" t="s">
        <v>1371</v>
      </c>
      <c r="C1016" s="35" t="s">
        <v>319</v>
      </c>
      <c r="D1016" s="36" t="s">
        <v>1370</v>
      </c>
      <c r="E1016" s="37" t="s">
        <v>779</v>
      </c>
      <c r="F1016" s="35" t="s">
        <v>322</v>
      </c>
      <c r="G1016" s="7"/>
      <c r="H1016" s="7"/>
      <c r="I1016" s="12"/>
    </row>
    <row r="1017" spans="1:9" ht="25.5" x14ac:dyDescent="0.2">
      <c r="A1017" s="35" t="str">
        <f>HYPERLINK("https://mississippidhs.jamacloud.com/perspective.req?projectId=53&amp;docId=28944","LSRP-SHRQ-1008")</f>
        <v>LSRP-SHRQ-1008</v>
      </c>
      <c r="B1017" s="8" t="s">
        <v>1372</v>
      </c>
      <c r="C1017" s="35" t="s">
        <v>319</v>
      </c>
      <c r="D1017" s="36" t="s">
        <v>1370</v>
      </c>
      <c r="E1017" s="37" t="s">
        <v>779</v>
      </c>
      <c r="F1017" s="35" t="s">
        <v>322</v>
      </c>
      <c r="G1017" s="7"/>
      <c r="H1017" s="7"/>
      <c r="I1017" s="12"/>
    </row>
    <row r="1018" spans="1:9" ht="14.25" x14ac:dyDescent="0.2">
      <c r="A1018" s="35" t="str">
        <f>HYPERLINK("https://mississippidhs.jamacloud.com/perspective.req?projectId=53&amp;docId=28945","LSRP-SHRQ-1009")</f>
        <v>LSRP-SHRQ-1009</v>
      </c>
      <c r="B1018" s="8" t="s">
        <v>1373</v>
      </c>
      <c r="C1018" s="35" t="s">
        <v>319</v>
      </c>
      <c r="D1018" s="36" t="s">
        <v>1370</v>
      </c>
      <c r="E1018" s="37" t="s">
        <v>779</v>
      </c>
      <c r="F1018" s="35" t="s">
        <v>322</v>
      </c>
      <c r="G1018" s="7"/>
      <c r="H1018" s="7"/>
      <c r="I1018" s="12"/>
    </row>
    <row r="1019" spans="1:9" ht="25.5" x14ac:dyDescent="0.2">
      <c r="A1019" s="35" t="str">
        <f>HYPERLINK("https://mississippidhs.jamacloud.com/perspective.req?projectId=53&amp;docId=28946","LSRP-SHRQ-1010")</f>
        <v>LSRP-SHRQ-1010</v>
      </c>
      <c r="B1019" s="8" t="s">
        <v>1374</v>
      </c>
      <c r="C1019" s="35" t="s">
        <v>319</v>
      </c>
      <c r="D1019" s="36" t="s">
        <v>1370</v>
      </c>
      <c r="E1019" s="37" t="s">
        <v>779</v>
      </c>
      <c r="F1019" s="35" t="s">
        <v>322</v>
      </c>
      <c r="G1019" s="7"/>
      <c r="H1019" s="7"/>
      <c r="I1019" s="12"/>
    </row>
    <row r="1020" spans="1:9" ht="38.25" x14ac:dyDescent="0.2">
      <c r="A1020" s="35" t="str">
        <f>HYPERLINK("https://mississippidhs.jamacloud.com/perspective.req?projectId=53&amp;docId=28947","LSRP-SHRQ-1011")</f>
        <v>LSRP-SHRQ-1011</v>
      </c>
      <c r="B1020" s="8" t="s">
        <v>1375</v>
      </c>
      <c r="C1020" s="35" t="s">
        <v>319</v>
      </c>
      <c r="D1020" s="36" t="s">
        <v>1370</v>
      </c>
      <c r="E1020" s="37" t="s">
        <v>779</v>
      </c>
      <c r="F1020" s="35" t="s">
        <v>322</v>
      </c>
      <c r="G1020" s="7"/>
      <c r="H1020" s="7"/>
      <c r="I1020" s="12"/>
    </row>
    <row r="1021" spans="1:9" ht="38.25" x14ac:dyDescent="0.2">
      <c r="A1021" s="35" t="str">
        <f>HYPERLINK("https://mississippidhs.jamacloud.com/perspective.req?projectId=53&amp;docId=28948","LSRP-SHRQ-1012")</f>
        <v>LSRP-SHRQ-1012</v>
      </c>
      <c r="B1021" s="8" t="s">
        <v>1376</v>
      </c>
      <c r="C1021" s="35" t="s">
        <v>319</v>
      </c>
      <c r="D1021" s="36" t="s">
        <v>1370</v>
      </c>
      <c r="E1021" s="37" t="s">
        <v>779</v>
      </c>
      <c r="F1021" s="35" t="s">
        <v>322</v>
      </c>
      <c r="G1021" s="7"/>
      <c r="H1021" s="7"/>
      <c r="I1021" s="12"/>
    </row>
    <row r="1022" spans="1:9" ht="14.25" x14ac:dyDescent="0.2">
      <c r="A1022" s="35" t="str">
        <f>HYPERLINK("https://mississippidhs.jamacloud.com/perspective.req?projectId=53&amp;docId=28949","LSRP-SHRQ-1013")</f>
        <v>LSRP-SHRQ-1013</v>
      </c>
      <c r="B1022" s="8" t="s">
        <v>1377</v>
      </c>
      <c r="C1022" s="35" t="s">
        <v>319</v>
      </c>
      <c r="D1022" s="36" t="s">
        <v>1370</v>
      </c>
      <c r="E1022" s="37" t="s">
        <v>779</v>
      </c>
      <c r="F1022" s="35" t="s">
        <v>322</v>
      </c>
      <c r="G1022" s="7"/>
      <c r="H1022" s="7"/>
      <c r="I1022" s="12"/>
    </row>
    <row r="1023" spans="1:9" ht="25.5" x14ac:dyDescent="0.2">
      <c r="A1023" s="35" t="str">
        <f>HYPERLINK("https://mississippidhs.jamacloud.com/perspective.req?projectId=53&amp;docId=28950","LSRP-SHRQ-1014")</f>
        <v>LSRP-SHRQ-1014</v>
      </c>
      <c r="B1023" s="8" t="s">
        <v>1378</v>
      </c>
      <c r="C1023" s="35" t="s">
        <v>319</v>
      </c>
      <c r="D1023" s="36" t="s">
        <v>1370</v>
      </c>
      <c r="E1023" s="37" t="s">
        <v>779</v>
      </c>
      <c r="F1023" s="35" t="s">
        <v>322</v>
      </c>
      <c r="G1023" s="7"/>
      <c r="H1023" s="7"/>
      <c r="I1023" s="12"/>
    </row>
    <row r="1024" spans="1:9" ht="25.5" x14ac:dyDescent="0.2">
      <c r="A1024" s="35" t="str">
        <f>HYPERLINK("https://mississippidhs.jamacloud.com/perspective.req?projectId=53&amp;docId=28951","LSRP-SHRQ-1015")</f>
        <v>LSRP-SHRQ-1015</v>
      </c>
      <c r="B1024" s="8" t="s">
        <v>1379</v>
      </c>
      <c r="C1024" s="35" t="s">
        <v>319</v>
      </c>
      <c r="D1024" s="36" t="s">
        <v>1370</v>
      </c>
      <c r="E1024" s="37" t="s">
        <v>779</v>
      </c>
      <c r="F1024" s="35" t="s">
        <v>322</v>
      </c>
      <c r="G1024" s="7"/>
      <c r="H1024" s="7"/>
      <c r="I1024" s="12"/>
    </row>
    <row r="1025" spans="1:9" ht="38.25" x14ac:dyDescent="0.2">
      <c r="A1025" s="35" t="str">
        <f>HYPERLINK("https://mississippidhs.jamacloud.com/perspective.req?projectId=53&amp;docId=28952","LSRP-SHRQ-1016")</f>
        <v>LSRP-SHRQ-1016</v>
      </c>
      <c r="B1025" s="8" t="s">
        <v>1380</v>
      </c>
      <c r="C1025" s="35" t="s">
        <v>319</v>
      </c>
      <c r="D1025" s="36" t="s">
        <v>1370</v>
      </c>
      <c r="E1025" s="37" t="s">
        <v>779</v>
      </c>
      <c r="F1025" s="35" t="s">
        <v>322</v>
      </c>
      <c r="G1025" s="7"/>
      <c r="H1025" s="7"/>
      <c r="I1025" s="12"/>
    </row>
    <row r="1026" spans="1:9" ht="38.25" x14ac:dyDescent="0.2">
      <c r="A1026" s="35" t="str">
        <f>HYPERLINK("https://mississippidhs.jamacloud.com/perspective.req?projectId=53&amp;docId=28953","LSRP-SHRQ-1017")</f>
        <v>LSRP-SHRQ-1017</v>
      </c>
      <c r="B1026" s="8" t="s">
        <v>1381</v>
      </c>
      <c r="C1026" s="35" t="s">
        <v>319</v>
      </c>
      <c r="D1026" s="36" t="s">
        <v>1370</v>
      </c>
      <c r="E1026" s="37" t="s">
        <v>779</v>
      </c>
      <c r="F1026" s="35" t="s">
        <v>322</v>
      </c>
      <c r="G1026" s="7"/>
      <c r="H1026" s="7"/>
      <c r="I1026" s="12"/>
    </row>
    <row r="1027" spans="1:9" ht="25.5" x14ac:dyDescent="0.2">
      <c r="A1027" s="35" t="str">
        <f>HYPERLINK("https://mississippidhs.jamacloud.com/perspective.req?projectId=53&amp;docId=28955","LSRP-SHRQ-1018")</f>
        <v>LSRP-SHRQ-1018</v>
      </c>
      <c r="B1027" s="8" t="s">
        <v>1382</v>
      </c>
      <c r="C1027" s="35" t="s">
        <v>401</v>
      </c>
      <c r="D1027" s="36" t="s">
        <v>45</v>
      </c>
      <c r="E1027" s="37" t="s">
        <v>779</v>
      </c>
      <c r="F1027" s="35" t="s">
        <v>394</v>
      </c>
      <c r="G1027" s="7"/>
      <c r="H1027" s="7"/>
      <c r="I1027" s="12"/>
    </row>
    <row r="1028" spans="1:9" ht="25.5" x14ac:dyDescent="0.2">
      <c r="A1028" s="35" t="str">
        <f>HYPERLINK("https://mississippidhs.jamacloud.com/perspective.req?projectId=53&amp;docId=28956","LSRP-SHRQ-1019")</f>
        <v>LSRP-SHRQ-1019</v>
      </c>
      <c r="B1028" s="8" t="s">
        <v>1383</v>
      </c>
      <c r="C1028" s="35" t="s">
        <v>401</v>
      </c>
      <c r="D1028" s="36" t="s">
        <v>45</v>
      </c>
      <c r="E1028" s="37" t="s">
        <v>779</v>
      </c>
      <c r="F1028" s="35" t="s">
        <v>394</v>
      </c>
      <c r="G1028" s="7"/>
      <c r="H1028" s="7"/>
      <c r="I1028" s="12"/>
    </row>
    <row r="1029" spans="1:9" ht="25.5" x14ac:dyDescent="0.2">
      <c r="A1029" s="35" t="str">
        <f>HYPERLINK("https://mississippidhs.jamacloud.com/perspective.req?projectId=53&amp;docId=28957","LSRP-SHRQ-1020")</f>
        <v>LSRP-SHRQ-1020</v>
      </c>
      <c r="B1029" s="8" t="s">
        <v>1384</v>
      </c>
      <c r="C1029" s="35" t="s">
        <v>401</v>
      </c>
      <c r="D1029" s="36" t="s">
        <v>45</v>
      </c>
      <c r="E1029" s="37" t="s">
        <v>779</v>
      </c>
      <c r="F1029" s="35" t="s">
        <v>394</v>
      </c>
      <c r="G1029" s="7"/>
      <c r="H1029" s="7"/>
      <c r="I1029" s="12"/>
    </row>
    <row r="1030" spans="1:9" ht="38.25" x14ac:dyDescent="0.2">
      <c r="A1030" s="35" t="str">
        <f>HYPERLINK("https://mississippidhs.jamacloud.com/perspective.req?projectId=53&amp;docId=28958","LSRP-SHRQ-1021")</f>
        <v>LSRP-SHRQ-1021</v>
      </c>
      <c r="B1030" s="8" t="s">
        <v>1385</v>
      </c>
      <c r="C1030" s="35" t="s">
        <v>401</v>
      </c>
      <c r="D1030" s="36" t="s">
        <v>45</v>
      </c>
      <c r="E1030" s="37" t="s">
        <v>779</v>
      </c>
      <c r="F1030" s="35" t="s">
        <v>394</v>
      </c>
      <c r="G1030" s="7"/>
      <c r="H1030" s="7"/>
      <c r="I1030" s="12"/>
    </row>
    <row r="1031" spans="1:9" ht="25.5" x14ac:dyDescent="0.2">
      <c r="A1031" s="35" t="str">
        <f>HYPERLINK("https://mississippidhs.jamacloud.com/perspective.req?projectId=53&amp;docId=28959","LSRP-SHRQ-1022")</f>
        <v>LSRP-SHRQ-1022</v>
      </c>
      <c r="B1031" s="8" t="s">
        <v>1386</v>
      </c>
      <c r="C1031" s="35" t="s">
        <v>401</v>
      </c>
      <c r="D1031" s="36" t="s">
        <v>45</v>
      </c>
      <c r="E1031" s="37" t="s">
        <v>779</v>
      </c>
      <c r="F1031" s="35" t="s">
        <v>394</v>
      </c>
      <c r="G1031" s="7"/>
      <c r="H1031" s="7"/>
      <c r="I1031" s="12"/>
    </row>
    <row r="1032" spans="1:9" ht="38.25" x14ac:dyDescent="0.2">
      <c r="A1032" s="35" t="str">
        <f>HYPERLINK("https://mississippidhs.jamacloud.com/perspective.req?projectId=53&amp;docId=28960","LSRP-SHRQ-1023")</f>
        <v>LSRP-SHRQ-1023</v>
      </c>
      <c r="B1032" s="8" t="s">
        <v>1387</v>
      </c>
      <c r="C1032" s="35" t="s">
        <v>401</v>
      </c>
      <c r="D1032" s="36" t="s">
        <v>45</v>
      </c>
      <c r="E1032" s="37" t="s">
        <v>779</v>
      </c>
      <c r="F1032" s="35" t="s">
        <v>394</v>
      </c>
      <c r="G1032" s="7"/>
      <c r="H1032" s="7"/>
      <c r="I1032" s="12"/>
    </row>
    <row r="1033" spans="1:9" ht="25.5" x14ac:dyDescent="0.2">
      <c r="A1033" s="35" t="str">
        <f>HYPERLINK("https://mississippidhs.jamacloud.com/perspective.req?projectId=53&amp;docId=28961","LSRP-SHRQ-1024")</f>
        <v>LSRP-SHRQ-1024</v>
      </c>
      <c r="B1033" s="8" t="s">
        <v>1388</v>
      </c>
      <c r="C1033" s="35" t="s">
        <v>401</v>
      </c>
      <c r="D1033" s="36" t="s">
        <v>45</v>
      </c>
      <c r="E1033" s="37" t="s">
        <v>779</v>
      </c>
      <c r="F1033" s="35" t="s">
        <v>420</v>
      </c>
      <c r="G1033" s="7"/>
      <c r="H1033" s="7"/>
      <c r="I1033" s="12"/>
    </row>
    <row r="1034" spans="1:9" ht="25.5" x14ac:dyDescent="0.2">
      <c r="A1034" s="35" t="str">
        <f>HYPERLINK("https://mississippidhs.jamacloud.com/perspective.req?projectId=53&amp;docId=28962","LSRP-SHRQ-1025")</f>
        <v>LSRP-SHRQ-1025</v>
      </c>
      <c r="B1034" s="8" t="s">
        <v>1389</v>
      </c>
      <c r="C1034" s="35" t="s">
        <v>401</v>
      </c>
      <c r="D1034" s="36" t="s">
        <v>45</v>
      </c>
      <c r="E1034" s="37" t="s">
        <v>779</v>
      </c>
      <c r="F1034" s="35" t="s">
        <v>394</v>
      </c>
      <c r="G1034" s="7"/>
      <c r="H1034" s="7"/>
      <c r="I1034" s="12"/>
    </row>
    <row r="1035" spans="1:9" ht="25.5" x14ac:dyDescent="0.2">
      <c r="A1035" s="35" t="str">
        <f>HYPERLINK("https://mississippidhs.jamacloud.com/perspective.req?projectId=53&amp;docId=28963","LSRP-SHRQ-1026")</f>
        <v>LSRP-SHRQ-1026</v>
      </c>
      <c r="B1035" s="8" t="s">
        <v>1390</v>
      </c>
      <c r="C1035" s="35" t="s">
        <v>401</v>
      </c>
      <c r="D1035" s="36" t="s">
        <v>45</v>
      </c>
      <c r="E1035" s="37" t="s">
        <v>779</v>
      </c>
      <c r="F1035" s="35" t="s">
        <v>394</v>
      </c>
      <c r="G1035" s="7"/>
      <c r="H1035" s="7"/>
      <c r="I1035" s="12"/>
    </row>
    <row r="1036" spans="1:9" ht="25.5" x14ac:dyDescent="0.2">
      <c r="A1036" s="35" t="str">
        <f>HYPERLINK("https://mississippidhs.jamacloud.com/perspective.req?projectId=53&amp;docId=28964","LSRP-SHRQ-1027")</f>
        <v>LSRP-SHRQ-1027</v>
      </c>
      <c r="B1036" s="8" t="s">
        <v>1391</v>
      </c>
      <c r="C1036" s="35" t="s">
        <v>401</v>
      </c>
      <c r="D1036" s="36" t="s">
        <v>45</v>
      </c>
      <c r="E1036" s="37" t="s">
        <v>779</v>
      </c>
      <c r="F1036" s="35" t="s">
        <v>394</v>
      </c>
      <c r="G1036" s="7"/>
      <c r="H1036" s="7"/>
      <c r="I1036" s="12"/>
    </row>
    <row r="1037" spans="1:9" ht="38.25" x14ac:dyDescent="0.2">
      <c r="A1037" s="35" t="str">
        <f>HYPERLINK("https://mississippidhs.jamacloud.com/perspective.req?projectId=53&amp;docId=28965","LSRP-SHRQ-1028")</f>
        <v>LSRP-SHRQ-1028</v>
      </c>
      <c r="B1037" s="8" t="s">
        <v>1392</v>
      </c>
      <c r="C1037" s="35" t="s">
        <v>401</v>
      </c>
      <c r="D1037" s="36" t="s">
        <v>45</v>
      </c>
      <c r="E1037" s="37" t="s">
        <v>779</v>
      </c>
      <c r="F1037" s="35" t="s">
        <v>394</v>
      </c>
      <c r="G1037" s="7"/>
      <c r="H1037" s="7"/>
      <c r="I1037" s="12"/>
    </row>
    <row r="1038" spans="1:9" ht="25.5" x14ac:dyDescent="0.2">
      <c r="A1038" s="35" t="str">
        <f>HYPERLINK("https://mississippidhs.jamacloud.com/perspective.req?projectId=53&amp;docId=28966","LSRP-SHRQ-1029")</f>
        <v>LSRP-SHRQ-1029</v>
      </c>
      <c r="B1038" s="8" t="s">
        <v>1393</v>
      </c>
      <c r="C1038" s="35" t="s">
        <v>401</v>
      </c>
      <c r="D1038" s="36" t="s">
        <v>45</v>
      </c>
      <c r="E1038" s="37" t="s">
        <v>779</v>
      </c>
      <c r="F1038" s="35" t="s">
        <v>394</v>
      </c>
      <c r="G1038" s="7"/>
      <c r="H1038" s="7"/>
      <c r="I1038" s="12"/>
    </row>
    <row r="1039" spans="1:9" ht="38.25" x14ac:dyDescent="0.2">
      <c r="A1039" s="35" t="str">
        <f>HYPERLINK("https://mississippidhs.jamacloud.com/perspective.req?projectId=53&amp;docId=28967","LSRP-SHRQ-1030")</f>
        <v>LSRP-SHRQ-1030</v>
      </c>
      <c r="B1039" s="8" t="s">
        <v>1394</v>
      </c>
      <c r="C1039" s="35" t="s">
        <v>401</v>
      </c>
      <c r="D1039" s="36" t="s">
        <v>45</v>
      </c>
      <c r="E1039" s="37" t="s">
        <v>779</v>
      </c>
      <c r="F1039" s="35" t="s">
        <v>394</v>
      </c>
      <c r="G1039" s="7"/>
      <c r="H1039" s="7"/>
      <c r="I1039" s="12"/>
    </row>
    <row r="1040" spans="1:9" ht="25.5" x14ac:dyDescent="0.2">
      <c r="A1040" s="35" t="str">
        <f>HYPERLINK("https://mississippidhs.jamacloud.com/perspective.req?projectId=53&amp;docId=28968","LSRP-SHRQ-1031")</f>
        <v>LSRP-SHRQ-1031</v>
      </c>
      <c r="B1040" s="8" t="s">
        <v>1395</v>
      </c>
      <c r="C1040" s="35" t="s">
        <v>401</v>
      </c>
      <c r="D1040" s="36" t="s">
        <v>45</v>
      </c>
      <c r="E1040" s="37" t="s">
        <v>779</v>
      </c>
      <c r="F1040" s="35" t="s">
        <v>394</v>
      </c>
      <c r="G1040" s="7"/>
      <c r="H1040" s="7"/>
      <c r="I1040" s="12"/>
    </row>
    <row r="1041" spans="1:9" ht="25.5" x14ac:dyDescent="0.2">
      <c r="A1041" s="35" t="str">
        <f>HYPERLINK("https://mississippidhs.jamacloud.com/perspective.req?projectId=53&amp;docId=28969","LSRP-SHRQ-1032")</f>
        <v>LSRP-SHRQ-1032</v>
      </c>
      <c r="B1041" s="8" t="s">
        <v>1396</v>
      </c>
      <c r="C1041" s="35" t="s">
        <v>401</v>
      </c>
      <c r="D1041" s="36" t="s">
        <v>45</v>
      </c>
      <c r="E1041" s="37" t="s">
        <v>779</v>
      </c>
      <c r="F1041" s="35" t="s">
        <v>394</v>
      </c>
      <c r="G1041" s="7"/>
      <c r="H1041" s="7"/>
      <c r="I1041" s="12"/>
    </row>
    <row r="1042" spans="1:9" ht="38.25" x14ac:dyDescent="0.2">
      <c r="A1042" s="35" t="str">
        <f>HYPERLINK("https://mississippidhs.jamacloud.com/perspective.req?projectId=53&amp;docId=28970","LSRP-SHRQ-1033")</f>
        <v>LSRP-SHRQ-1033</v>
      </c>
      <c r="B1042" s="8" t="s">
        <v>1397</v>
      </c>
      <c r="C1042" s="35" t="s">
        <v>401</v>
      </c>
      <c r="D1042" s="36" t="s">
        <v>45</v>
      </c>
      <c r="E1042" s="37" t="s">
        <v>779</v>
      </c>
      <c r="F1042" s="35" t="s">
        <v>394</v>
      </c>
      <c r="G1042" s="7"/>
      <c r="H1042" s="7"/>
      <c r="I1042" s="12"/>
    </row>
    <row r="1043" spans="1:9" ht="114.75" x14ac:dyDescent="0.2">
      <c r="A1043" s="35" t="str">
        <f>HYPERLINK("https://mississippidhs.jamacloud.com/perspective.req?projectId=53&amp;docId=28971","LSRP-SHRQ-1034")</f>
        <v>LSRP-SHRQ-1034</v>
      </c>
      <c r="B1043" s="8" t="s">
        <v>1398</v>
      </c>
      <c r="C1043" s="35" t="s">
        <v>401</v>
      </c>
      <c r="D1043" s="36" t="s">
        <v>45</v>
      </c>
      <c r="E1043" s="37" t="s">
        <v>779</v>
      </c>
      <c r="F1043" s="35" t="s">
        <v>394</v>
      </c>
      <c r="G1043" s="7"/>
      <c r="H1043" s="7"/>
      <c r="I1043" s="12"/>
    </row>
    <row r="1044" spans="1:9" ht="25.5" x14ac:dyDescent="0.2">
      <c r="A1044" s="35" t="str">
        <f>HYPERLINK("https://mississippidhs.jamacloud.com/perspective.req?projectId=53&amp;docId=28972","LSRP-SHRQ-1035")</f>
        <v>LSRP-SHRQ-1035</v>
      </c>
      <c r="B1044" s="8" t="s">
        <v>1399</v>
      </c>
      <c r="C1044" s="35" t="s">
        <v>401</v>
      </c>
      <c r="D1044" s="36" t="s">
        <v>45</v>
      </c>
      <c r="E1044" s="37" t="s">
        <v>779</v>
      </c>
      <c r="F1044" s="35" t="s">
        <v>394</v>
      </c>
      <c r="G1044" s="7"/>
      <c r="H1044" s="7"/>
      <c r="I1044" s="12"/>
    </row>
    <row r="1045" spans="1:9" ht="25.5" x14ac:dyDescent="0.2">
      <c r="A1045" s="35" t="str">
        <f>HYPERLINK("https://mississippidhs.jamacloud.com/perspective.req?projectId=53&amp;docId=28973","LSRP-SHRQ-1036")</f>
        <v>LSRP-SHRQ-1036</v>
      </c>
      <c r="B1045" s="8" t="s">
        <v>1400</v>
      </c>
      <c r="C1045" s="35" t="s">
        <v>401</v>
      </c>
      <c r="D1045" s="36" t="s">
        <v>45</v>
      </c>
      <c r="E1045" s="37" t="s">
        <v>779</v>
      </c>
      <c r="F1045" s="35" t="s">
        <v>394</v>
      </c>
      <c r="G1045" s="7"/>
      <c r="H1045" s="7"/>
      <c r="I1045" s="12"/>
    </row>
    <row r="1046" spans="1:9" ht="38.25" x14ac:dyDescent="0.2">
      <c r="A1046" s="35" t="str">
        <f>HYPERLINK("https://mississippidhs.jamacloud.com/perspective.req?projectId=53&amp;docId=28974","LSRP-SHRQ-1037")</f>
        <v>LSRP-SHRQ-1037</v>
      </c>
      <c r="B1046" s="8" t="s">
        <v>1401</v>
      </c>
      <c r="C1046" s="35" t="s">
        <v>401</v>
      </c>
      <c r="D1046" s="36" t="s">
        <v>45</v>
      </c>
      <c r="E1046" s="37" t="s">
        <v>779</v>
      </c>
      <c r="F1046" s="35" t="s">
        <v>394</v>
      </c>
      <c r="G1046" s="7"/>
      <c r="H1046" s="7"/>
      <c r="I1046" s="12"/>
    </row>
    <row r="1047" spans="1:9" ht="25.5" x14ac:dyDescent="0.2">
      <c r="A1047" s="35" t="str">
        <f>HYPERLINK("https://mississippidhs.jamacloud.com/perspective.req?projectId=53&amp;docId=28975","LSRP-SHRQ-1038")</f>
        <v>LSRP-SHRQ-1038</v>
      </c>
      <c r="B1047" s="8" t="s">
        <v>1402</v>
      </c>
      <c r="C1047" s="35" t="s">
        <v>401</v>
      </c>
      <c r="D1047" s="36" t="s">
        <v>45</v>
      </c>
      <c r="E1047" s="37" t="s">
        <v>779</v>
      </c>
      <c r="F1047" s="35" t="s">
        <v>394</v>
      </c>
      <c r="G1047" s="7"/>
      <c r="H1047" s="7"/>
      <c r="I1047" s="12"/>
    </row>
    <row r="1048" spans="1:9" ht="25.5" x14ac:dyDescent="0.2">
      <c r="A1048" s="35" t="str">
        <f>HYPERLINK("https://mississippidhs.jamacloud.com/perspective.req?projectId=53&amp;docId=28976","LSRP-SHRQ-1039")</f>
        <v>LSRP-SHRQ-1039</v>
      </c>
      <c r="B1048" s="8" t="s">
        <v>1403</v>
      </c>
      <c r="C1048" s="35" t="s">
        <v>401</v>
      </c>
      <c r="D1048" s="36" t="s">
        <v>45</v>
      </c>
      <c r="E1048" s="37" t="s">
        <v>779</v>
      </c>
      <c r="F1048" s="35" t="s">
        <v>392</v>
      </c>
      <c r="G1048" s="7"/>
      <c r="H1048" s="7"/>
      <c r="I1048" s="12"/>
    </row>
    <row r="1049" spans="1:9" ht="38.25" x14ac:dyDescent="0.2">
      <c r="A1049" s="35" t="str">
        <f>HYPERLINK("https://mississippidhs.jamacloud.com/perspective.req?projectId=53&amp;docId=28977","LSRP-SHRQ-1040")</f>
        <v>LSRP-SHRQ-1040</v>
      </c>
      <c r="B1049" s="8" t="s">
        <v>1404</v>
      </c>
      <c r="C1049" s="35" t="s">
        <v>401</v>
      </c>
      <c r="D1049" s="36" t="s">
        <v>45</v>
      </c>
      <c r="E1049" s="37" t="s">
        <v>779</v>
      </c>
      <c r="F1049" s="35" t="s">
        <v>392</v>
      </c>
      <c r="G1049" s="7"/>
      <c r="H1049" s="7"/>
      <c r="I1049" s="12"/>
    </row>
    <row r="1050" spans="1:9" ht="25.5" x14ac:dyDescent="0.2">
      <c r="A1050" s="35" t="str">
        <f>HYPERLINK("https://mississippidhs.jamacloud.com/perspective.req?projectId=53&amp;docId=28978","LSRP-SHRQ-1041")</f>
        <v>LSRP-SHRQ-1041</v>
      </c>
      <c r="B1050" s="8" t="s">
        <v>1405</v>
      </c>
      <c r="C1050" s="35" t="s">
        <v>401</v>
      </c>
      <c r="D1050" s="36" t="s">
        <v>45</v>
      </c>
      <c r="E1050" s="37" t="s">
        <v>779</v>
      </c>
      <c r="F1050" s="35" t="s">
        <v>394</v>
      </c>
      <c r="G1050" s="7"/>
      <c r="H1050" s="7"/>
      <c r="I1050" s="12"/>
    </row>
    <row r="1051" spans="1:9" ht="25.5" x14ac:dyDescent="0.2">
      <c r="A1051" s="35" t="str">
        <f>HYPERLINK("https://mississippidhs.jamacloud.com/perspective.req?projectId=53&amp;docId=28979","LSRP-SHRQ-1042")</f>
        <v>LSRP-SHRQ-1042</v>
      </c>
      <c r="B1051" s="8" t="s">
        <v>1406</v>
      </c>
      <c r="C1051" s="35" t="s">
        <v>401</v>
      </c>
      <c r="D1051" s="36" t="s">
        <v>45</v>
      </c>
      <c r="E1051" s="37" t="s">
        <v>779</v>
      </c>
      <c r="F1051" s="35" t="s">
        <v>394</v>
      </c>
      <c r="G1051" s="7"/>
      <c r="H1051" s="7"/>
      <c r="I1051" s="12"/>
    </row>
    <row r="1052" spans="1:9" ht="25.5" x14ac:dyDescent="0.2">
      <c r="A1052" s="35" t="str">
        <f>HYPERLINK("https://mississippidhs.jamacloud.com/perspective.req?projectId=53&amp;docId=28980","LSRP-SHRQ-1043")</f>
        <v>LSRP-SHRQ-1043</v>
      </c>
      <c r="B1052" s="8" t="s">
        <v>1407</v>
      </c>
      <c r="C1052" s="35" t="s">
        <v>401</v>
      </c>
      <c r="D1052" s="36" t="s">
        <v>45</v>
      </c>
      <c r="E1052" s="37" t="s">
        <v>779</v>
      </c>
      <c r="F1052" s="35" t="s">
        <v>394</v>
      </c>
      <c r="G1052" s="7"/>
      <c r="H1052" s="7"/>
      <c r="I1052" s="12"/>
    </row>
    <row r="1053" spans="1:9" ht="25.5" x14ac:dyDescent="0.2">
      <c r="A1053" s="35" t="str">
        <f>HYPERLINK("https://mississippidhs.jamacloud.com/perspective.req?projectId=53&amp;docId=28981","LSRP-SHRQ-1044")</f>
        <v>LSRP-SHRQ-1044</v>
      </c>
      <c r="B1053" s="8" t="s">
        <v>1408</v>
      </c>
      <c r="C1053" s="35" t="s">
        <v>401</v>
      </c>
      <c r="D1053" s="36" t="s">
        <v>45</v>
      </c>
      <c r="E1053" s="37" t="s">
        <v>779</v>
      </c>
      <c r="F1053" s="35" t="s">
        <v>394</v>
      </c>
      <c r="G1053" s="7"/>
      <c r="H1053" s="7"/>
      <c r="I1053" s="12"/>
    </row>
    <row r="1054" spans="1:9" ht="25.5" x14ac:dyDescent="0.2">
      <c r="A1054" s="35" t="str">
        <f>HYPERLINK("https://mississippidhs.jamacloud.com/perspective.req?projectId=53&amp;docId=28982","LSRP-SHRQ-1045")</f>
        <v>LSRP-SHRQ-1045</v>
      </c>
      <c r="B1054" s="8" t="s">
        <v>1409</v>
      </c>
      <c r="C1054" s="35" t="s">
        <v>401</v>
      </c>
      <c r="D1054" s="36" t="s">
        <v>45</v>
      </c>
      <c r="E1054" s="37" t="s">
        <v>779</v>
      </c>
      <c r="F1054" s="35" t="s">
        <v>322</v>
      </c>
      <c r="G1054" s="7"/>
      <c r="H1054" s="7"/>
      <c r="I1054" s="12"/>
    </row>
    <row r="1055" spans="1:9" ht="25.5" x14ac:dyDescent="0.2">
      <c r="A1055" s="35" t="str">
        <f>HYPERLINK("https://mississippidhs.jamacloud.com/perspective.req?projectId=53&amp;docId=28983","LSRP-SHRQ-1046")</f>
        <v>LSRP-SHRQ-1046</v>
      </c>
      <c r="B1055" s="8" t="s">
        <v>1410</v>
      </c>
      <c r="C1055" s="35" t="s">
        <v>401</v>
      </c>
      <c r="D1055" s="36" t="s">
        <v>45</v>
      </c>
      <c r="E1055" s="37" t="s">
        <v>779</v>
      </c>
      <c r="F1055" s="35" t="s">
        <v>394</v>
      </c>
      <c r="G1055" s="7"/>
      <c r="H1055" s="7"/>
      <c r="I1055" s="12"/>
    </row>
    <row r="1056" spans="1:9" ht="25.5" x14ac:dyDescent="0.2">
      <c r="A1056" s="35" t="str">
        <f>HYPERLINK("https://mississippidhs.jamacloud.com/perspective.req?projectId=53&amp;docId=28984","LSRP-SHRQ-1047")</f>
        <v>LSRP-SHRQ-1047</v>
      </c>
      <c r="B1056" s="8" t="s">
        <v>1411</v>
      </c>
      <c r="C1056" s="35" t="s">
        <v>401</v>
      </c>
      <c r="D1056" s="36" t="s">
        <v>45</v>
      </c>
      <c r="E1056" s="37" t="s">
        <v>779</v>
      </c>
      <c r="F1056" s="35" t="s">
        <v>394</v>
      </c>
      <c r="G1056" s="7"/>
      <c r="H1056" s="7"/>
      <c r="I1056" s="12"/>
    </row>
    <row r="1057" spans="1:9" ht="38.25" x14ac:dyDescent="0.2">
      <c r="A1057" s="35" t="str">
        <f>HYPERLINK("https://mississippidhs.jamacloud.com/perspective.req?projectId=53&amp;docId=28985","LSRP-SHRQ-1048")</f>
        <v>LSRP-SHRQ-1048</v>
      </c>
      <c r="B1057" s="8" t="s">
        <v>1412</v>
      </c>
      <c r="C1057" s="35" t="s">
        <v>401</v>
      </c>
      <c r="D1057" s="36" t="s">
        <v>45</v>
      </c>
      <c r="E1057" s="37" t="s">
        <v>779</v>
      </c>
      <c r="F1057" s="35" t="s">
        <v>394</v>
      </c>
      <c r="G1057" s="7"/>
      <c r="H1057" s="7"/>
      <c r="I1057" s="12"/>
    </row>
    <row r="1058" spans="1:9" ht="25.5" x14ac:dyDescent="0.2">
      <c r="A1058" s="35" t="str">
        <f>HYPERLINK("https://mississippidhs.jamacloud.com/perspective.req?projectId=53&amp;docId=28986","LSRP-SHRQ-1049")</f>
        <v>LSRP-SHRQ-1049</v>
      </c>
      <c r="B1058" s="8" t="s">
        <v>1413</v>
      </c>
      <c r="C1058" s="35" t="s">
        <v>401</v>
      </c>
      <c r="D1058" s="36" t="s">
        <v>45</v>
      </c>
      <c r="E1058" s="37" t="s">
        <v>779</v>
      </c>
      <c r="F1058" s="35" t="s">
        <v>420</v>
      </c>
      <c r="G1058" s="7"/>
      <c r="H1058" s="7"/>
      <c r="I1058" s="12"/>
    </row>
    <row r="1059" spans="1:9" ht="25.5" x14ac:dyDescent="0.2">
      <c r="A1059" s="35" t="str">
        <f>HYPERLINK("https://mississippidhs.jamacloud.com/perspective.req?projectId=53&amp;docId=28987","LSRP-SHRQ-1050")</f>
        <v>LSRP-SHRQ-1050</v>
      </c>
      <c r="B1059" s="8" t="s">
        <v>1414</v>
      </c>
      <c r="C1059" s="35" t="s">
        <v>401</v>
      </c>
      <c r="D1059" s="36" t="s">
        <v>45</v>
      </c>
      <c r="E1059" s="37" t="s">
        <v>779</v>
      </c>
      <c r="F1059" s="35" t="s">
        <v>1415</v>
      </c>
      <c r="G1059" s="7"/>
      <c r="H1059" s="7"/>
      <c r="I1059" s="12"/>
    </row>
    <row r="1060" spans="1:9" ht="25.5" x14ac:dyDescent="0.2">
      <c r="A1060" s="35" t="str">
        <f>HYPERLINK("https://mississippidhs.jamacloud.com/perspective.req?projectId=53&amp;docId=28988","LSRP-SHRQ-1051")</f>
        <v>LSRP-SHRQ-1051</v>
      </c>
      <c r="B1060" s="8" t="s">
        <v>1416</v>
      </c>
      <c r="C1060" s="35" t="s">
        <v>401</v>
      </c>
      <c r="D1060" s="36" t="s">
        <v>45</v>
      </c>
      <c r="E1060" s="37" t="s">
        <v>779</v>
      </c>
      <c r="F1060" s="35" t="s">
        <v>545</v>
      </c>
      <c r="G1060" s="7"/>
      <c r="H1060" s="7"/>
      <c r="I1060" s="12"/>
    </row>
    <row r="1061" spans="1:9" ht="25.5" x14ac:dyDescent="0.2">
      <c r="A1061" s="35" t="str">
        <f>HYPERLINK("https://mississippidhs.jamacloud.com/perspective.req?projectId=53&amp;docId=28989","LSRP-SHRQ-1052")</f>
        <v>LSRP-SHRQ-1052</v>
      </c>
      <c r="B1061" s="8" t="s">
        <v>1417</v>
      </c>
      <c r="C1061" s="35" t="s">
        <v>401</v>
      </c>
      <c r="D1061" s="36" t="s">
        <v>45</v>
      </c>
      <c r="E1061" s="37" t="s">
        <v>779</v>
      </c>
      <c r="F1061" s="35" t="s">
        <v>545</v>
      </c>
      <c r="G1061" s="7"/>
      <c r="H1061" s="7"/>
      <c r="I1061" s="12"/>
    </row>
    <row r="1062" spans="1:9" ht="38.25" x14ac:dyDescent="0.2">
      <c r="A1062" s="35" t="str">
        <f>HYPERLINK("https://mississippidhs.jamacloud.com/perspective.req?projectId=53&amp;docId=28990","LSRP-SHRQ-1053")</f>
        <v>LSRP-SHRQ-1053</v>
      </c>
      <c r="B1062" s="8" t="s">
        <v>1418</v>
      </c>
      <c r="C1062" s="35" t="s">
        <v>401</v>
      </c>
      <c r="D1062" s="36" t="s">
        <v>45</v>
      </c>
      <c r="E1062" s="37" t="s">
        <v>779</v>
      </c>
      <c r="F1062" s="35" t="s">
        <v>1419</v>
      </c>
      <c r="G1062" s="7"/>
      <c r="H1062" s="7"/>
      <c r="I1062" s="12"/>
    </row>
    <row r="1063" spans="1:9" ht="38.25" x14ac:dyDescent="0.2">
      <c r="A1063" s="35" t="str">
        <f>HYPERLINK("https://mississippidhs.jamacloud.com/perspective.req?projectId=53&amp;docId=28991","LSRP-SHRQ-1054")</f>
        <v>LSRP-SHRQ-1054</v>
      </c>
      <c r="B1063" s="8" t="s">
        <v>1420</v>
      </c>
      <c r="C1063" s="35" t="s">
        <v>401</v>
      </c>
      <c r="D1063" s="36" t="s">
        <v>45</v>
      </c>
      <c r="E1063" s="37" t="s">
        <v>779</v>
      </c>
      <c r="F1063" s="35" t="s">
        <v>545</v>
      </c>
      <c r="G1063" s="7"/>
      <c r="H1063" s="7"/>
      <c r="I1063" s="12"/>
    </row>
    <row r="1064" spans="1:9" ht="25.5" x14ac:dyDescent="0.2">
      <c r="A1064" s="35" t="str">
        <f>HYPERLINK("https://mississippidhs.jamacloud.com/perspective.req?projectId=53&amp;docId=28992","LSRP-SHRQ-1055")</f>
        <v>LSRP-SHRQ-1055</v>
      </c>
      <c r="B1064" s="8" t="s">
        <v>1421</v>
      </c>
      <c r="C1064" s="35" t="s">
        <v>401</v>
      </c>
      <c r="D1064" s="36" t="s">
        <v>45</v>
      </c>
      <c r="E1064" s="37" t="s">
        <v>779</v>
      </c>
      <c r="F1064" s="35" t="s">
        <v>1419</v>
      </c>
      <c r="G1064" s="7"/>
      <c r="H1064" s="7"/>
      <c r="I1064" s="12"/>
    </row>
    <row r="1065" spans="1:9" ht="38.25" x14ac:dyDescent="0.2">
      <c r="A1065" s="35" t="str">
        <f>HYPERLINK("https://mississippidhs.jamacloud.com/perspective.req?projectId=53&amp;docId=28993","LSRP-SHRQ-1056")</f>
        <v>LSRP-SHRQ-1056</v>
      </c>
      <c r="B1065" s="8" t="s">
        <v>1422</v>
      </c>
      <c r="C1065" s="35" t="s">
        <v>401</v>
      </c>
      <c r="D1065" s="36" t="s">
        <v>45</v>
      </c>
      <c r="E1065" s="37" t="s">
        <v>779</v>
      </c>
      <c r="F1065" s="35" t="s">
        <v>322</v>
      </c>
      <c r="G1065" s="7"/>
      <c r="H1065" s="7"/>
      <c r="I1065" s="12"/>
    </row>
    <row r="1066" spans="1:9" ht="25.5" x14ac:dyDescent="0.2">
      <c r="A1066" s="35" t="str">
        <f>HYPERLINK("https://mississippidhs.jamacloud.com/perspective.req?projectId=53&amp;docId=28994","LSRP-SHRQ-1057")</f>
        <v>LSRP-SHRQ-1057</v>
      </c>
      <c r="B1066" s="8" t="s">
        <v>1423</v>
      </c>
      <c r="C1066" s="35" t="s">
        <v>401</v>
      </c>
      <c r="D1066" s="36" t="s">
        <v>45</v>
      </c>
      <c r="E1066" s="37" t="s">
        <v>779</v>
      </c>
      <c r="F1066" s="35" t="s">
        <v>322</v>
      </c>
      <c r="G1066" s="7"/>
      <c r="H1066" s="7"/>
      <c r="I1066" s="12"/>
    </row>
    <row r="1067" spans="1:9" ht="25.5" x14ac:dyDescent="0.2">
      <c r="A1067" s="35" t="str">
        <f>HYPERLINK("https://mississippidhs.jamacloud.com/perspective.req?projectId=53&amp;docId=28995","LSRP-SHRQ-1058")</f>
        <v>LSRP-SHRQ-1058</v>
      </c>
      <c r="B1067" s="8" t="s">
        <v>1424</v>
      </c>
      <c r="C1067" s="35" t="s">
        <v>401</v>
      </c>
      <c r="D1067" s="36" t="s">
        <v>45</v>
      </c>
      <c r="E1067" s="37" t="s">
        <v>779</v>
      </c>
      <c r="F1067" s="35" t="s">
        <v>545</v>
      </c>
      <c r="G1067" s="7"/>
      <c r="H1067" s="7"/>
      <c r="I1067" s="12"/>
    </row>
    <row r="1068" spans="1:9" ht="25.5" x14ac:dyDescent="0.2">
      <c r="A1068" s="35" t="str">
        <f>HYPERLINK("https://mississippidhs.jamacloud.com/perspective.req?projectId=53&amp;docId=28996","LSRP-SHRQ-1059")</f>
        <v>LSRP-SHRQ-1059</v>
      </c>
      <c r="B1068" s="8" t="s">
        <v>1425</v>
      </c>
      <c r="C1068" s="35" t="s">
        <v>401</v>
      </c>
      <c r="D1068" s="36" t="s">
        <v>45</v>
      </c>
      <c r="E1068" s="37" t="s">
        <v>779</v>
      </c>
      <c r="F1068" s="35" t="s">
        <v>322</v>
      </c>
      <c r="G1068" s="7"/>
      <c r="H1068" s="7"/>
      <c r="I1068" s="12"/>
    </row>
    <row r="1069" spans="1:9" ht="38.25" x14ac:dyDescent="0.2">
      <c r="A1069" s="35" t="str">
        <f>HYPERLINK("https://mississippidhs.jamacloud.com/perspective.req?projectId=53&amp;docId=28997","LSRP-SHRQ-1060")</f>
        <v>LSRP-SHRQ-1060</v>
      </c>
      <c r="B1069" s="8" t="s">
        <v>1426</v>
      </c>
      <c r="C1069" s="35" t="s">
        <v>401</v>
      </c>
      <c r="D1069" s="36" t="s">
        <v>45</v>
      </c>
      <c r="E1069" s="37" t="s">
        <v>779</v>
      </c>
      <c r="F1069" s="35" t="s">
        <v>322</v>
      </c>
      <c r="G1069" s="7"/>
      <c r="H1069" s="7"/>
      <c r="I1069" s="12"/>
    </row>
    <row r="1070" spans="1:9" ht="63.75" x14ac:dyDescent="0.2">
      <c r="A1070" s="35" t="str">
        <f>HYPERLINK("https://mississippidhs.jamacloud.com/perspective.req?projectId=53&amp;docId=28998","LSRP-SHRQ-1061")</f>
        <v>LSRP-SHRQ-1061</v>
      </c>
      <c r="B1070" s="8" t="s">
        <v>1427</v>
      </c>
      <c r="C1070" s="35" t="s">
        <v>401</v>
      </c>
      <c r="D1070" s="36" t="s">
        <v>45</v>
      </c>
      <c r="E1070" s="37" t="s">
        <v>779</v>
      </c>
      <c r="F1070" s="35" t="s">
        <v>322</v>
      </c>
      <c r="G1070" s="7"/>
      <c r="H1070" s="7"/>
      <c r="I1070" s="12"/>
    </row>
    <row r="1071" spans="1:9" ht="25.5" x14ac:dyDescent="0.2">
      <c r="A1071" s="35" t="str">
        <f>HYPERLINK("https://mississippidhs.jamacloud.com/perspective.req?projectId=53&amp;docId=28999","LSRP-SHRQ-1062")</f>
        <v>LSRP-SHRQ-1062</v>
      </c>
      <c r="B1071" s="8" t="s">
        <v>1428</v>
      </c>
      <c r="C1071" s="35" t="s">
        <v>401</v>
      </c>
      <c r="D1071" s="36" t="s">
        <v>45</v>
      </c>
      <c r="E1071" s="37" t="s">
        <v>779</v>
      </c>
      <c r="F1071" s="35" t="s">
        <v>322</v>
      </c>
      <c r="G1071" s="7"/>
      <c r="H1071" s="7"/>
      <c r="I1071" s="12"/>
    </row>
    <row r="1072" spans="1:9" ht="51" x14ac:dyDescent="0.2">
      <c r="A1072" s="35" t="str">
        <f>HYPERLINK("https://mississippidhs.jamacloud.com/perspective.req?projectId=53&amp;docId=29000","LSRP-SHRQ-1063")</f>
        <v>LSRP-SHRQ-1063</v>
      </c>
      <c r="B1072" s="8" t="s">
        <v>1429</v>
      </c>
      <c r="C1072" s="35" t="s">
        <v>401</v>
      </c>
      <c r="D1072" s="36" t="s">
        <v>45</v>
      </c>
      <c r="E1072" s="37" t="s">
        <v>779</v>
      </c>
      <c r="F1072" s="35" t="s">
        <v>322</v>
      </c>
      <c r="G1072" s="7"/>
      <c r="H1072" s="7"/>
      <c r="I1072" s="12"/>
    </row>
    <row r="1073" spans="1:9" ht="76.5" x14ac:dyDescent="0.2">
      <c r="A1073" s="35" t="str">
        <f>HYPERLINK("https://mississippidhs.jamacloud.com/perspective.req?projectId=53&amp;docId=29001","LSRP-SHRQ-1064")</f>
        <v>LSRP-SHRQ-1064</v>
      </c>
      <c r="B1073" s="8" t="s">
        <v>1430</v>
      </c>
      <c r="C1073" s="35" t="s">
        <v>401</v>
      </c>
      <c r="D1073" s="36" t="s">
        <v>45</v>
      </c>
      <c r="E1073" s="37" t="s">
        <v>779</v>
      </c>
      <c r="F1073" s="35" t="s">
        <v>322</v>
      </c>
      <c r="G1073" s="7"/>
      <c r="H1073" s="7"/>
      <c r="I1073" s="12"/>
    </row>
    <row r="1074" spans="1:9" ht="25.5" x14ac:dyDescent="0.2">
      <c r="A1074" s="35" t="str">
        <f>HYPERLINK("https://mississippidhs.jamacloud.com/perspective.req?projectId=53&amp;docId=29002","LSRP-SHRQ-1065")</f>
        <v>LSRP-SHRQ-1065</v>
      </c>
      <c r="B1074" s="8" t="s">
        <v>1431</v>
      </c>
      <c r="C1074" s="35" t="s">
        <v>401</v>
      </c>
      <c r="D1074" s="36" t="s">
        <v>45</v>
      </c>
      <c r="E1074" s="37" t="s">
        <v>779</v>
      </c>
      <c r="F1074" s="35" t="s">
        <v>322</v>
      </c>
      <c r="G1074" s="7"/>
      <c r="H1074" s="7"/>
      <c r="I1074" s="12"/>
    </row>
    <row r="1075" spans="1:9" ht="51" x14ac:dyDescent="0.2">
      <c r="A1075" s="35" t="str">
        <f>HYPERLINK("https://mississippidhs.jamacloud.com/perspective.req?projectId=53&amp;docId=29003","LSRP-SHRQ-1066")</f>
        <v>LSRP-SHRQ-1066</v>
      </c>
      <c r="B1075" s="8" t="s">
        <v>1432</v>
      </c>
      <c r="C1075" s="35" t="s">
        <v>401</v>
      </c>
      <c r="D1075" s="36" t="s">
        <v>45</v>
      </c>
      <c r="E1075" s="37" t="s">
        <v>779</v>
      </c>
      <c r="F1075" s="35" t="s">
        <v>420</v>
      </c>
      <c r="G1075" s="7"/>
      <c r="H1075" s="7"/>
      <c r="I1075" s="12"/>
    </row>
    <row r="1076" spans="1:9" ht="38.25" x14ac:dyDescent="0.2">
      <c r="A1076" s="35" t="str">
        <f>HYPERLINK("https://mississippidhs.jamacloud.com/perspective.req?projectId=53&amp;docId=29004","LSRP-SHRQ-1067")</f>
        <v>LSRP-SHRQ-1067</v>
      </c>
      <c r="B1076" s="8" t="s">
        <v>1433</v>
      </c>
      <c r="C1076" s="35" t="s">
        <v>401</v>
      </c>
      <c r="D1076" s="36" t="s">
        <v>45</v>
      </c>
      <c r="E1076" s="37" t="s">
        <v>779</v>
      </c>
      <c r="F1076" s="35" t="s">
        <v>322</v>
      </c>
      <c r="G1076" s="7"/>
      <c r="H1076" s="7"/>
      <c r="I1076" s="12"/>
    </row>
    <row r="1077" spans="1:9" ht="51" x14ac:dyDescent="0.2">
      <c r="A1077" s="35" t="str">
        <f>HYPERLINK("https://mississippidhs.jamacloud.com/perspective.req?projectId=53&amp;docId=29005","LSRP-SHRQ-1068")</f>
        <v>LSRP-SHRQ-1068</v>
      </c>
      <c r="B1077" s="8" t="s">
        <v>1434</v>
      </c>
      <c r="C1077" s="35" t="s">
        <v>401</v>
      </c>
      <c r="D1077" s="36" t="s">
        <v>45</v>
      </c>
      <c r="E1077" s="37" t="s">
        <v>779</v>
      </c>
      <c r="F1077" s="35" t="s">
        <v>1435</v>
      </c>
      <c r="G1077" s="7"/>
      <c r="H1077" s="7"/>
      <c r="I1077" s="12"/>
    </row>
    <row r="1078" spans="1:9" ht="63.75" x14ac:dyDescent="0.2">
      <c r="A1078" s="35" t="str">
        <f>HYPERLINK("https://mississippidhs.jamacloud.com/perspective.req?projectId=53&amp;docId=29006","LSRP-SHRQ-1069")</f>
        <v>LSRP-SHRQ-1069</v>
      </c>
      <c r="B1078" s="8" t="s">
        <v>1436</v>
      </c>
      <c r="C1078" s="35" t="s">
        <v>401</v>
      </c>
      <c r="D1078" s="36" t="s">
        <v>45</v>
      </c>
      <c r="E1078" s="37" t="s">
        <v>779</v>
      </c>
      <c r="F1078" s="35" t="s">
        <v>411</v>
      </c>
      <c r="G1078" s="7"/>
      <c r="H1078" s="7"/>
      <c r="I1078" s="12"/>
    </row>
    <row r="1079" spans="1:9" ht="25.5" x14ac:dyDescent="0.2">
      <c r="A1079" s="35" t="str">
        <f>HYPERLINK("https://mississippidhs.jamacloud.com/perspective.req?projectId=53&amp;docId=29007","LSRP-SHRQ-1070")</f>
        <v>LSRP-SHRQ-1070</v>
      </c>
      <c r="B1079" s="8" t="s">
        <v>1437</v>
      </c>
      <c r="C1079" s="35" t="s">
        <v>401</v>
      </c>
      <c r="D1079" s="36" t="s">
        <v>45</v>
      </c>
      <c r="E1079" s="37" t="s">
        <v>779</v>
      </c>
      <c r="F1079" s="35" t="s">
        <v>411</v>
      </c>
      <c r="G1079" s="7"/>
      <c r="H1079" s="7"/>
      <c r="I1079" s="12"/>
    </row>
    <row r="1080" spans="1:9" ht="38.25" x14ac:dyDescent="0.2">
      <c r="A1080" s="35" t="str">
        <f>HYPERLINK("https://mississippidhs.jamacloud.com/perspective.req?projectId=53&amp;docId=29008","LSRP-SHRQ-1071")</f>
        <v>LSRP-SHRQ-1071</v>
      </c>
      <c r="B1080" s="8" t="s">
        <v>1438</v>
      </c>
      <c r="C1080" s="35" t="s">
        <v>401</v>
      </c>
      <c r="D1080" s="36" t="s">
        <v>45</v>
      </c>
      <c r="E1080" s="37" t="s">
        <v>779</v>
      </c>
      <c r="F1080" s="35" t="s">
        <v>411</v>
      </c>
      <c r="G1080" s="7"/>
      <c r="H1080" s="7"/>
      <c r="I1080" s="12"/>
    </row>
    <row r="1081" spans="1:9" ht="38.25" x14ac:dyDescent="0.2">
      <c r="A1081" s="35" t="str">
        <f>HYPERLINK("https://mississippidhs.jamacloud.com/perspective.req?projectId=53&amp;docId=29009","LSRP-SHRQ-1072")</f>
        <v>LSRP-SHRQ-1072</v>
      </c>
      <c r="B1081" s="8" t="s">
        <v>1439</v>
      </c>
      <c r="C1081" s="35" t="s">
        <v>401</v>
      </c>
      <c r="D1081" s="36" t="s">
        <v>45</v>
      </c>
      <c r="E1081" s="37" t="s">
        <v>779</v>
      </c>
      <c r="F1081" s="35" t="s">
        <v>411</v>
      </c>
      <c r="G1081" s="7"/>
      <c r="H1081" s="7"/>
      <c r="I1081" s="12"/>
    </row>
    <row r="1082" spans="1:9" ht="38.25" x14ac:dyDescent="0.2">
      <c r="A1082" s="35" t="str">
        <f>HYPERLINK("https://mississippidhs.jamacloud.com/perspective.req?projectId=53&amp;docId=29010","LSRP-SHRQ-1073")</f>
        <v>LSRP-SHRQ-1073</v>
      </c>
      <c r="B1082" s="8" t="s">
        <v>1440</v>
      </c>
      <c r="C1082" s="35" t="s">
        <v>401</v>
      </c>
      <c r="D1082" s="36" t="s">
        <v>45</v>
      </c>
      <c r="E1082" s="37" t="s">
        <v>779</v>
      </c>
      <c r="F1082" s="35" t="s">
        <v>420</v>
      </c>
      <c r="G1082" s="7"/>
      <c r="H1082" s="7"/>
      <c r="I1082" s="12"/>
    </row>
    <row r="1083" spans="1:9" ht="38.25" x14ac:dyDescent="0.2">
      <c r="A1083" s="35" t="str">
        <f>HYPERLINK("https://mississippidhs.jamacloud.com/perspective.req?projectId=53&amp;docId=29011","LSRP-SHRQ-1074")</f>
        <v>LSRP-SHRQ-1074</v>
      </c>
      <c r="B1083" s="8" t="s">
        <v>1441</v>
      </c>
      <c r="C1083" s="35" t="s">
        <v>401</v>
      </c>
      <c r="D1083" s="36" t="s">
        <v>45</v>
      </c>
      <c r="E1083" s="37" t="s">
        <v>779</v>
      </c>
      <c r="F1083" s="35" t="s">
        <v>411</v>
      </c>
      <c r="G1083" s="7"/>
      <c r="H1083" s="7"/>
      <c r="I1083" s="12"/>
    </row>
    <row r="1084" spans="1:9" ht="25.5" x14ac:dyDescent="0.2">
      <c r="A1084" s="35" t="str">
        <f>HYPERLINK("https://mississippidhs.jamacloud.com/perspective.req?projectId=53&amp;docId=29012","LSRP-SHRQ-1075")</f>
        <v>LSRP-SHRQ-1075</v>
      </c>
      <c r="B1084" s="8" t="s">
        <v>1442</v>
      </c>
      <c r="C1084" s="35" t="s">
        <v>401</v>
      </c>
      <c r="D1084" s="36" t="s">
        <v>45</v>
      </c>
      <c r="E1084" s="37" t="s">
        <v>779</v>
      </c>
      <c r="F1084" s="35" t="s">
        <v>1020</v>
      </c>
      <c r="G1084" s="7"/>
      <c r="H1084" s="7"/>
      <c r="I1084" s="12"/>
    </row>
    <row r="1085" spans="1:9" ht="25.5" x14ac:dyDescent="0.2">
      <c r="A1085" s="35" t="str">
        <f>HYPERLINK("https://mississippidhs.jamacloud.com/perspective.req?projectId=53&amp;docId=29013","LSRP-SHRQ-1076")</f>
        <v>LSRP-SHRQ-1076</v>
      </c>
      <c r="B1085" s="8" t="s">
        <v>1443</v>
      </c>
      <c r="C1085" s="35" t="s">
        <v>401</v>
      </c>
      <c r="D1085" s="36" t="s">
        <v>45</v>
      </c>
      <c r="E1085" s="37" t="s">
        <v>779</v>
      </c>
      <c r="F1085" s="35" t="s">
        <v>411</v>
      </c>
      <c r="G1085" s="7"/>
      <c r="H1085" s="7"/>
      <c r="I1085" s="12"/>
    </row>
    <row r="1086" spans="1:9" ht="38.25" x14ac:dyDescent="0.2">
      <c r="A1086" s="35" t="str">
        <f>HYPERLINK("https://mississippidhs.jamacloud.com/perspective.req?projectId=53&amp;docId=29014","LSRP-SHRQ-1077")</f>
        <v>LSRP-SHRQ-1077</v>
      </c>
      <c r="B1086" s="8" t="s">
        <v>1444</v>
      </c>
      <c r="C1086" s="35" t="s">
        <v>401</v>
      </c>
      <c r="D1086" s="36" t="s">
        <v>45</v>
      </c>
      <c r="E1086" s="37" t="s">
        <v>779</v>
      </c>
      <c r="F1086" s="35" t="s">
        <v>394</v>
      </c>
      <c r="G1086" s="7"/>
      <c r="H1086" s="7"/>
      <c r="I1086" s="12"/>
    </row>
    <row r="1087" spans="1:9" ht="153" x14ac:dyDescent="0.2">
      <c r="A1087" s="35" t="str">
        <f>HYPERLINK("https://mississippidhs.jamacloud.com/perspective.req?projectId=53&amp;docId=29015","LSRP-SHRQ-1078")</f>
        <v>LSRP-SHRQ-1078</v>
      </c>
      <c r="B1087" s="8" t="s">
        <v>1445</v>
      </c>
      <c r="C1087" s="35" t="s">
        <v>401</v>
      </c>
      <c r="D1087" s="36" t="s">
        <v>45</v>
      </c>
      <c r="E1087" s="37" t="s">
        <v>779</v>
      </c>
      <c r="F1087" s="35" t="s">
        <v>392</v>
      </c>
      <c r="G1087" s="7"/>
      <c r="H1087" s="7"/>
      <c r="I1087" s="12"/>
    </row>
    <row r="1088" spans="1:9" ht="25.5" x14ac:dyDescent="0.2">
      <c r="A1088" s="35" t="str">
        <f>HYPERLINK("https://mississippidhs.jamacloud.com/perspective.req?projectId=53&amp;docId=29016","LSRP-SHRQ-1079")</f>
        <v>LSRP-SHRQ-1079</v>
      </c>
      <c r="B1088" s="8" t="s">
        <v>1446</v>
      </c>
      <c r="C1088" s="35" t="s">
        <v>401</v>
      </c>
      <c r="D1088" s="36" t="s">
        <v>45</v>
      </c>
      <c r="E1088" s="37" t="s">
        <v>779</v>
      </c>
      <c r="F1088" s="35" t="s">
        <v>322</v>
      </c>
      <c r="G1088" s="7"/>
      <c r="H1088" s="7"/>
      <c r="I1088" s="12"/>
    </row>
    <row r="1089" spans="1:9" ht="25.5" x14ac:dyDescent="0.2">
      <c r="A1089" s="35" t="str">
        <f>HYPERLINK("https://mississippidhs.jamacloud.com/perspective.req?projectId=53&amp;docId=29017","LSRP-SHRQ-1080")</f>
        <v>LSRP-SHRQ-1080</v>
      </c>
      <c r="B1089" s="8" t="s">
        <v>1447</v>
      </c>
      <c r="C1089" s="35" t="s">
        <v>401</v>
      </c>
      <c r="D1089" s="36" t="s">
        <v>45</v>
      </c>
      <c r="E1089" s="37" t="s">
        <v>779</v>
      </c>
      <c r="F1089" s="35" t="s">
        <v>322</v>
      </c>
      <c r="G1089" s="7"/>
      <c r="H1089" s="7"/>
      <c r="I1089" s="12"/>
    </row>
    <row r="1090" spans="1:9" ht="25.5" x14ac:dyDescent="0.2">
      <c r="A1090" s="35" t="str">
        <f>HYPERLINK("https://mississippidhs.jamacloud.com/perspective.req?projectId=53&amp;docId=29018","LSRP-SHRQ-1081")</f>
        <v>LSRP-SHRQ-1081</v>
      </c>
      <c r="B1090" s="8" t="s">
        <v>1448</v>
      </c>
      <c r="C1090" s="35" t="s">
        <v>401</v>
      </c>
      <c r="D1090" s="36" t="s">
        <v>45</v>
      </c>
      <c r="E1090" s="37" t="s">
        <v>779</v>
      </c>
      <c r="F1090" s="35" t="s">
        <v>322</v>
      </c>
      <c r="G1090" s="7"/>
      <c r="H1090" s="7"/>
      <c r="I1090" s="12"/>
    </row>
    <row r="1091" spans="1:9" ht="25.5" x14ac:dyDescent="0.2">
      <c r="A1091" s="35" t="str">
        <f>HYPERLINK("https://mississippidhs.jamacloud.com/perspective.req?projectId=53&amp;docId=29019","LSRP-SHRQ-1082")</f>
        <v>LSRP-SHRQ-1082</v>
      </c>
      <c r="B1091" s="8" t="s">
        <v>1449</v>
      </c>
      <c r="C1091" s="35" t="s">
        <v>401</v>
      </c>
      <c r="D1091" s="36" t="s">
        <v>45</v>
      </c>
      <c r="E1091" s="37" t="s">
        <v>779</v>
      </c>
      <c r="F1091" s="35" t="s">
        <v>322</v>
      </c>
      <c r="G1091" s="7"/>
      <c r="H1091" s="7"/>
      <c r="I1091" s="12"/>
    </row>
    <row r="1092" spans="1:9" ht="38.25" x14ac:dyDescent="0.2">
      <c r="A1092" s="35" t="str">
        <f>HYPERLINK("https://mississippidhs.jamacloud.com/perspective.req?projectId=53&amp;docId=29020","LSRP-SHRQ-1083")</f>
        <v>LSRP-SHRQ-1083</v>
      </c>
      <c r="B1092" s="8" t="s">
        <v>1450</v>
      </c>
      <c r="C1092" s="35" t="s">
        <v>401</v>
      </c>
      <c r="D1092" s="36" t="s">
        <v>45</v>
      </c>
      <c r="E1092" s="37" t="s">
        <v>779</v>
      </c>
      <c r="F1092" s="35" t="s">
        <v>322</v>
      </c>
      <c r="G1092" s="7"/>
      <c r="H1092" s="7"/>
      <c r="I1092" s="12"/>
    </row>
    <row r="1093" spans="1:9" ht="25.5" x14ac:dyDescent="0.2">
      <c r="A1093" s="35" t="str">
        <f>HYPERLINK("https://mississippidhs.jamacloud.com/perspective.req?projectId=53&amp;docId=29021","LSRP-SHRQ-1084")</f>
        <v>LSRP-SHRQ-1084</v>
      </c>
      <c r="B1093" s="8" t="s">
        <v>1451</v>
      </c>
      <c r="C1093" s="35" t="s">
        <v>401</v>
      </c>
      <c r="D1093" s="36" t="s">
        <v>45</v>
      </c>
      <c r="E1093" s="37" t="s">
        <v>779</v>
      </c>
      <c r="F1093" s="35" t="s">
        <v>394</v>
      </c>
      <c r="G1093" s="7"/>
      <c r="H1093" s="7"/>
      <c r="I1093" s="12"/>
    </row>
    <row r="1094" spans="1:9" ht="25.5" x14ac:dyDescent="0.2">
      <c r="A1094" s="35" t="str">
        <f>HYPERLINK("https://mississippidhs.jamacloud.com/perspective.req?projectId=53&amp;docId=29022","LSRP-SHRQ-1085")</f>
        <v>LSRP-SHRQ-1085</v>
      </c>
      <c r="B1094" s="8" t="s">
        <v>1452</v>
      </c>
      <c r="C1094" s="35" t="s">
        <v>401</v>
      </c>
      <c r="D1094" s="36" t="s">
        <v>45</v>
      </c>
      <c r="E1094" s="37" t="s">
        <v>779</v>
      </c>
      <c r="F1094" s="35" t="s">
        <v>545</v>
      </c>
      <c r="G1094" s="7"/>
      <c r="H1094" s="7"/>
      <c r="I1094" s="12"/>
    </row>
    <row r="1095" spans="1:9" ht="51" x14ac:dyDescent="0.2">
      <c r="A1095" s="35" t="str">
        <f>HYPERLINK("https://mississippidhs.jamacloud.com/perspective.req?projectId=53&amp;docId=29023","LSRP-SHRQ-1086")</f>
        <v>LSRP-SHRQ-1086</v>
      </c>
      <c r="B1095" s="8" t="s">
        <v>1453</v>
      </c>
      <c r="C1095" s="35" t="s">
        <v>401</v>
      </c>
      <c r="D1095" s="36" t="s">
        <v>45</v>
      </c>
      <c r="E1095" s="37" t="s">
        <v>779</v>
      </c>
      <c r="F1095" s="35" t="s">
        <v>545</v>
      </c>
      <c r="G1095" s="7"/>
      <c r="H1095" s="7"/>
      <c r="I1095" s="12"/>
    </row>
    <row r="1096" spans="1:9" ht="38.25" x14ac:dyDescent="0.2">
      <c r="A1096" s="35" t="str">
        <f>HYPERLINK("https://mississippidhs.jamacloud.com/perspective.req?projectId=53&amp;docId=29024","LSRP-SHRQ-1087")</f>
        <v>LSRP-SHRQ-1087</v>
      </c>
      <c r="B1096" s="8" t="s">
        <v>1454</v>
      </c>
      <c r="C1096" s="35" t="s">
        <v>401</v>
      </c>
      <c r="D1096" s="36" t="s">
        <v>45</v>
      </c>
      <c r="E1096" s="37" t="s">
        <v>779</v>
      </c>
      <c r="F1096" s="35" t="s">
        <v>545</v>
      </c>
      <c r="G1096" s="7"/>
      <c r="H1096" s="7"/>
      <c r="I1096" s="12"/>
    </row>
    <row r="1097" spans="1:9" ht="25.5" x14ac:dyDescent="0.2">
      <c r="A1097" s="35" t="str">
        <f>HYPERLINK("https://mississippidhs.jamacloud.com/perspective.req?projectId=53&amp;docId=29025","LSRP-SHRQ-1088")</f>
        <v>LSRP-SHRQ-1088</v>
      </c>
      <c r="B1097" s="8" t="s">
        <v>1455</v>
      </c>
      <c r="C1097" s="35" t="s">
        <v>401</v>
      </c>
      <c r="D1097" s="36" t="s">
        <v>45</v>
      </c>
      <c r="E1097" s="37" t="s">
        <v>779</v>
      </c>
      <c r="F1097" s="35" t="s">
        <v>545</v>
      </c>
      <c r="G1097" s="7"/>
      <c r="H1097" s="7"/>
      <c r="I1097" s="12"/>
    </row>
    <row r="1098" spans="1:9" ht="38.25" x14ac:dyDescent="0.2">
      <c r="A1098" s="35" t="str">
        <f>HYPERLINK("https://mississippidhs.jamacloud.com/perspective.req?projectId=53&amp;docId=29026","LSRP-SHRQ-1089")</f>
        <v>LSRP-SHRQ-1089</v>
      </c>
      <c r="B1098" s="8" t="s">
        <v>1456</v>
      </c>
      <c r="C1098" s="35" t="s">
        <v>401</v>
      </c>
      <c r="D1098" s="36" t="s">
        <v>45</v>
      </c>
      <c r="E1098" s="37" t="s">
        <v>779</v>
      </c>
      <c r="F1098" s="35" t="s">
        <v>545</v>
      </c>
      <c r="G1098" s="7"/>
      <c r="H1098" s="7"/>
      <c r="I1098" s="12"/>
    </row>
    <row r="1099" spans="1:9" ht="25.5" x14ac:dyDescent="0.2">
      <c r="A1099" s="35" t="str">
        <f>HYPERLINK("https://mississippidhs.jamacloud.com/perspective.req?projectId=53&amp;docId=29027","LSRP-SHRQ-1090")</f>
        <v>LSRP-SHRQ-1090</v>
      </c>
      <c r="B1099" s="8" t="s">
        <v>1457</v>
      </c>
      <c r="C1099" s="35" t="s">
        <v>401</v>
      </c>
      <c r="D1099" s="36" t="s">
        <v>45</v>
      </c>
      <c r="E1099" s="37" t="s">
        <v>779</v>
      </c>
      <c r="F1099" s="35" t="s">
        <v>392</v>
      </c>
      <c r="G1099" s="7"/>
      <c r="H1099" s="7"/>
      <c r="I1099" s="12"/>
    </row>
    <row r="1100" spans="1:9" ht="38.25" x14ac:dyDescent="0.2">
      <c r="A1100" s="35" t="str">
        <f>HYPERLINK("https://mississippidhs.jamacloud.com/perspective.req?projectId=53&amp;docId=29028","LSRP-SHRQ-1091")</f>
        <v>LSRP-SHRQ-1091</v>
      </c>
      <c r="B1100" s="8" t="s">
        <v>1458</v>
      </c>
      <c r="C1100" s="35" t="s">
        <v>401</v>
      </c>
      <c r="D1100" s="36" t="s">
        <v>45</v>
      </c>
      <c r="E1100" s="37" t="s">
        <v>779</v>
      </c>
      <c r="F1100" s="35" t="s">
        <v>394</v>
      </c>
      <c r="G1100" s="7"/>
      <c r="H1100" s="7"/>
      <c r="I1100" s="12"/>
    </row>
    <row r="1101" spans="1:9" ht="25.5" x14ac:dyDescent="0.2">
      <c r="A1101" s="35" t="str">
        <f>HYPERLINK("https://mississippidhs.jamacloud.com/perspective.req?projectId=53&amp;docId=29029","LSRP-SHRQ-1092")</f>
        <v>LSRP-SHRQ-1092</v>
      </c>
      <c r="B1101" s="8" t="s">
        <v>1459</v>
      </c>
      <c r="C1101" s="35" t="s">
        <v>401</v>
      </c>
      <c r="D1101" s="36" t="s">
        <v>45</v>
      </c>
      <c r="E1101" s="37" t="s">
        <v>779</v>
      </c>
      <c r="F1101" s="35" t="s">
        <v>394</v>
      </c>
      <c r="G1101" s="7"/>
      <c r="H1101" s="7"/>
      <c r="I1101" s="12"/>
    </row>
    <row r="1102" spans="1:9" ht="25.5" x14ac:dyDescent="0.2">
      <c r="A1102" s="35" t="str">
        <f>HYPERLINK("https://mississippidhs.jamacloud.com/perspective.req?projectId=53&amp;docId=29030","LSRP-SHRQ-1093")</f>
        <v>LSRP-SHRQ-1093</v>
      </c>
      <c r="B1102" s="8" t="s">
        <v>1460</v>
      </c>
      <c r="C1102" s="35" t="s">
        <v>401</v>
      </c>
      <c r="D1102" s="36" t="s">
        <v>45</v>
      </c>
      <c r="E1102" s="37" t="s">
        <v>779</v>
      </c>
      <c r="F1102" s="35" t="s">
        <v>394</v>
      </c>
      <c r="G1102" s="7"/>
      <c r="H1102" s="7"/>
      <c r="I1102" s="12"/>
    </row>
    <row r="1103" spans="1:9" ht="25.5" x14ac:dyDescent="0.2">
      <c r="A1103" s="35" t="str">
        <f>HYPERLINK("https://mississippidhs.jamacloud.com/perspective.req?projectId=53&amp;docId=29031","LSRP-SHRQ-1094")</f>
        <v>LSRP-SHRQ-1094</v>
      </c>
      <c r="B1103" s="8" t="s">
        <v>1461</v>
      </c>
      <c r="C1103" s="35" t="s">
        <v>401</v>
      </c>
      <c r="D1103" s="36" t="s">
        <v>45</v>
      </c>
      <c r="E1103" s="37" t="s">
        <v>779</v>
      </c>
      <c r="F1103" s="35" t="s">
        <v>394</v>
      </c>
      <c r="G1103" s="7"/>
      <c r="H1103" s="7"/>
      <c r="I1103" s="12"/>
    </row>
    <row r="1104" spans="1:9" ht="25.5" x14ac:dyDescent="0.2">
      <c r="A1104" s="35" t="str">
        <f>HYPERLINK("https://mississippidhs.jamacloud.com/perspective.req?projectId=53&amp;docId=29032","LSRP-SHRQ-1095")</f>
        <v>LSRP-SHRQ-1095</v>
      </c>
      <c r="B1104" s="8" t="s">
        <v>1462</v>
      </c>
      <c r="C1104" s="35" t="s">
        <v>401</v>
      </c>
      <c r="D1104" s="36" t="s">
        <v>45</v>
      </c>
      <c r="E1104" s="37" t="s">
        <v>779</v>
      </c>
      <c r="F1104" s="35" t="s">
        <v>394</v>
      </c>
      <c r="G1104" s="7"/>
      <c r="H1104" s="7"/>
      <c r="I1104" s="12"/>
    </row>
    <row r="1105" spans="1:9" ht="25.5" x14ac:dyDescent="0.2">
      <c r="A1105" s="35" t="str">
        <f>HYPERLINK("https://mississippidhs.jamacloud.com/perspective.req?projectId=53&amp;docId=29033","LSRP-SHRQ-1096")</f>
        <v>LSRP-SHRQ-1096</v>
      </c>
      <c r="B1105" s="8" t="s">
        <v>1463</v>
      </c>
      <c r="C1105" s="35" t="s">
        <v>401</v>
      </c>
      <c r="D1105" s="36" t="s">
        <v>45</v>
      </c>
      <c r="E1105" s="37" t="s">
        <v>779</v>
      </c>
      <c r="F1105" s="35" t="s">
        <v>394</v>
      </c>
      <c r="G1105" s="7"/>
      <c r="H1105" s="7"/>
      <c r="I1105" s="12"/>
    </row>
    <row r="1106" spans="1:9" ht="25.5" x14ac:dyDescent="0.2">
      <c r="A1106" s="35" t="str">
        <f>HYPERLINK("https://mississippidhs.jamacloud.com/perspective.req?projectId=53&amp;docId=29034","LSRP-SHRQ-1097")</f>
        <v>LSRP-SHRQ-1097</v>
      </c>
      <c r="B1106" s="8" t="s">
        <v>1464</v>
      </c>
      <c r="C1106" s="35" t="s">
        <v>401</v>
      </c>
      <c r="D1106" s="36" t="s">
        <v>45</v>
      </c>
      <c r="E1106" s="37" t="s">
        <v>779</v>
      </c>
      <c r="F1106" s="35" t="s">
        <v>394</v>
      </c>
      <c r="G1106" s="7"/>
      <c r="H1106" s="7"/>
      <c r="I1106" s="12"/>
    </row>
    <row r="1107" spans="1:9" ht="25.5" x14ac:dyDescent="0.2">
      <c r="A1107" s="35" t="str">
        <f>HYPERLINK("https://mississippidhs.jamacloud.com/perspective.req?projectId=53&amp;docId=29035","LSRP-SHRQ-1098")</f>
        <v>LSRP-SHRQ-1098</v>
      </c>
      <c r="B1107" s="8" t="s">
        <v>1465</v>
      </c>
      <c r="C1107" s="35" t="s">
        <v>401</v>
      </c>
      <c r="D1107" s="36" t="s">
        <v>45</v>
      </c>
      <c r="E1107" s="37" t="s">
        <v>779</v>
      </c>
      <c r="F1107" s="35" t="s">
        <v>394</v>
      </c>
      <c r="G1107" s="7"/>
      <c r="H1107" s="7"/>
      <c r="I1107" s="12"/>
    </row>
    <row r="1108" spans="1:9" ht="63.75" x14ac:dyDescent="0.2">
      <c r="A1108" s="35" t="str">
        <f>HYPERLINK("https://mississippidhs.jamacloud.com/perspective.req?projectId=53&amp;docId=29036","LSRP-SHRQ-1099")</f>
        <v>LSRP-SHRQ-1099</v>
      </c>
      <c r="B1108" s="8" t="s">
        <v>1466</v>
      </c>
      <c r="C1108" s="35" t="s">
        <v>401</v>
      </c>
      <c r="D1108" s="36" t="s">
        <v>45</v>
      </c>
      <c r="E1108" s="37" t="s">
        <v>779</v>
      </c>
      <c r="F1108" s="35" t="s">
        <v>322</v>
      </c>
      <c r="G1108" s="7"/>
      <c r="H1108" s="7"/>
      <c r="I1108" s="12"/>
    </row>
    <row r="1109" spans="1:9" ht="51" x14ac:dyDescent="0.2">
      <c r="A1109" s="35" t="str">
        <f>HYPERLINK("https://mississippidhs.jamacloud.com/perspective.req?projectId=53&amp;docId=29037","LSRP-SHRQ-1100")</f>
        <v>LSRP-SHRQ-1100</v>
      </c>
      <c r="B1109" s="8" t="s">
        <v>1467</v>
      </c>
      <c r="C1109" s="35" t="s">
        <v>401</v>
      </c>
      <c r="D1109" s="36" t="s">
        <v>45</v>
      </c>
      <c r="E1109" s="37" t="s">
        <v>779</v>
      </c>
      <c r="F1109" s="35" t="s">
        <v>394</v>
      </c>
      <c r="G1109" s="7"/>
      <c r="H1109" s="7"/>
      <c r="I1109" s="12"/>
    </row>
    <row r="1110" spans="1:9" ht="25.5" x14ac:dyDescent="0.2">
      <c r="A1110" s="35" t="str">
        <f>HYPERLINK("https://mississippidhs.jamacloud.com/perspective.req?projectId=53&amp;docId=29038","LSRP-SHRQ-1101")</f>
        <v>LSRP-SHRQ-1101</v>
      </c>
      <c r="B1110" s="8" t="s">
        <v>1468</v>
      </c>
      <c r="C1110" s="35" t="s">
        <v>401</v>
      </c>
      <c r="D1110" s="36" t="s">
        <v>45</v>
      </c>
      <c r="E1110" s="37" t="s">
        <v>779</v>
      </c>
      <c r="F1110" s="35" t="s">
        <v>394</v>
      </c>
      <c r="G1110" s="7"/>
      <c r="H1110" s="7"/>
      <c r="I1110" s="12"/>
    </row>
    <row r="1111" spans="1:9" ht="25.5" x14ac:dyDescent="0.2">
      <c r="A1111" s="35" t="str">
        <f>HYPERLINK("https://mississippidhs.jamacloud.com/perspective.req?projectId=53&amp;docId=29039","LSRP-SHRQ-1102")</f>
        <v>LSRP-SHRQ-1102</v>
      </c>
      <c r="B1111" s="8" t="s">
        <v>1469</v>
      </c>
      <c r="C1111" s="35" t="s">
        <v>401</v>
      </c>
      <c r="D1111" s="36" t="s">
        <v>45</v>
      </c>
      <c r="E1111" s="37" t="s">
        <v>779</v>
      </c>
      <c r="F1111" s="35" t="s">
        <v>394</v>
      </c>
      <c r="G1111" s="7"/>
      <c r="H1111" s="7"/>
      <c r="I1111" s="12"/>
    </row>
    <row r="1112" spans="1:9" ht="25.5" x14ac:dyDescent="0.2">
      <c r="A1112" s="35" t="str">
        <f>HYPERLINK("https://mississippidhs.jamacloud.com/perspective.req?projectId=53&amp;docId=29040","LSRP-SHRQ-1103")</f>
        <v>LSRP-SHRQ-1103</v>
      </c>
      <c r="B1112" s="8" t="s">
        <v>1470</v>
      </c>
      <c r="C1112" s="35" t="s">
        <v>401</v>
      </c>
      <c r="D1112" s="36" t="s">
        <v>45</v>
      </c>
      <c r="E1112" s="37" t="s">
        <v>779</v>
      </c>
      <c r="F1112" s="35" t="s">
        <v>394</v>
      </c>
      <c r="G1112" s="7"/>
      <c r="H1112" s="7"/>
      <c r="I1112" s="12"/>
    </row>
    <row r="1113" spans="1:9" ht="25.5" x14ac:dyDescent="0.2">
      <c r="A1113" s="35" t="str">
        <f>HYPERLINK("https://mississippidhs.jamacloud.com/perspective.req?projectId=53&amp;docId=29041","LSRP-SHRQ-1104")</f>
        <v>LSRP-SHRQ-1104</v>
      </c>
      <c r="B1113" s="8" t="s">
        <v>1471</v>
      </c>
      <c r="C1113" s="35" t="s">
        <v>401</v>
      </c>
      <c r="D1113" s="36" t="s">
        <v>45</v>
      </c>
      <c r="E1113" s="37" t="s">
        <v>779</v>
      </c>
      <c r="F1113" s="35" t="s">
        <v>394</v>
      </c>
      <c r="G1113" s="7"/>
      <c r="H1113" s="7"/>
      <c r="I1113" s="12"/>
    </row>
    <row r="1114" spans="1:9" ht="25.5" x14ac:dyDescent="0.2">
      <c r="A1114" s="35" t="str">
        <f>HYPERLINK("https://mississippidhs.jamacloud.com/perspective.req?projectId=53&amp;docId=29042","LSRP-SHRQ-1105")</f>
        <v>LSRP-SHRQ-1105</v>
      </c>
      <c r="B1114" s="8" t="s">
        <v>1472</v>
      </c>
      <c r="C1114" s="35" t="s">
        <v>401</v>
      </c>
      <c r="D1114" s="36" t="s">
        <v>45</v>
      </c>
      <c r="E1114" s="37" t="s">
        <v>779</v>
      </c>
      <c r="F1114" s="35" t="s">
        <v>394</v>
      </c>
      <c r="G1114" s="7"/>
      <c r="H1114" s="7"/>
      <c r="I1114" s="12"/>
    </row>
    <row r="1115" spans="1:9" ht="25.5" x14ac:dyDescent="0.2">
      <c r="A1115" s="35" t="str">
        <f>HYPERLINK("https://mississippidhs.jamacloud.com/perspective.req?projectId=53&amp;docId=29043","LSRP-SHRQ-1106")</f>
        <v>LSRP-SHRQ-1106</v>
      </c>
      <c r="B1115" s="8" t="s">
        <v>1473</v>
      </c>
      <c r="C1115" s="35" t="s">
        <v>401</v>
      </c>
      <c r="D1115" s="36" t="s">
        <v>45</v>
      </c>
      <c r="E1115" s="37" t="s">
        <v>779</v>
      </c>
      <c r="F1115" s="35" t="s">
        <v>394</v>
      </c>
      <c r="G1115" s="7"/>
      <c r="H1115" s="7"/>
      <c r="I1115" s="12"/>
    </row>
    <row r="1116" spans="1:9" ht="25.5" x14ac:dyDescent="0.2">
      <c r="A1116" s="35" t="str">
        <f>HYPERLINK("https://mississippidhs.jamacloud.com/perspective.req?projectId=53&amp;docId=29044","LSRP-SHRQ-1107")</f>
        <v>LSRP-SHRQ-1107</v>
      </c>
      <c r="B1116" s="8" t="s">
        <v>1474</v>
      </c>
      <c r="C1116" s="35" t="s">
        <v>401</v>
      </c>
      <c r="D1116" s="36" t="s">
        <v>45</v>
      </c>
      <c r="E1116" s="37" t="s">
        <v>779</v>
      </c>
      <c r="F1116" s="35" t="s">
        <v>394</v>
      </c>
      <c r="G1116" s="7"/>
      <c r="H1116" s="7"/>
      <c r="I1116" s="12"/>
    </row>
    <row r="1117" spans="1:9" ht="25.5" x14ac:dyDescent="0.2">
      <c r="A1117" s="35" t="str">
        <f>HYPERLINK("https://mississippidhs.jamacloud.com/perspective.req?projectId=53&amp;docId=29045","LSRP-SHRQ-1108")</f>
        <v>LSRP-SHRQ-1108</v>
      </c>
      <c r="B1117" s="8" t="s">
        <v>1475</v>
      </c>
      <c r="C1117" s="35" t="s">
        <v>401</v>
      </c>
      <c r="D1117" s="36" t="s">
        <v>45</v>
      </c>
      <c r="E1117" s="37" t="s">
        <v>779</v>
      </c>
      <c r="F1117" s="35" t="s">
        <v>394</v>
      </c>
      <c r="G1117" s="7"/>
      <c r="H1117" s="7"/>
      <c r="I1117" s="12"/>
    </row>
    <row r="1118" spans="1:9" ht="25.5" x14ac:dyDescent="0.2">
      <c r="A1118" s="35" t="str">
        <f>HYPERLINK("https://mississippidhs.jamacloud.com/perspective.req?projectId=53&amp;docId=29046","LSRP-SHRQ-1109")</f>
        <v>LSRP-SHRQ-1109</v>
      </c>
      <c r="B1118" s="8" t="s">
        <v>1476</v>
      </c>
      <c r="C1118" s="35" t="s">
        <v>401</v>
      </c>
      <c r="D1118" s="36" t="s">
        <v>45</v>
      </c>
      <c r="E1118" s="37" t="s">
        <v>779</v>
      </c>
      <c r="F1118" s="35" t="s">
        <v>394</v>
      </c>
      <c r="G1118" s="7"/>
      <c r="H1118" s="7"/>
      <c r="I1118" s="12"/>
    </row>
    <row r="1119" spans="1:9" ht="38.25" x14ac:dyDescent="0.2">
      <c r="A1119" s="35" t="str">
        <f>HYPERLINK("https://mississippidhs.jamacloud.com/perspective.req?projectId=53&amp;docId=29047","LSRP-SHRQ-1110")</f>
        <v>LSRP-SHRQ-1110</v>
      </c>
      <c r="B1119" s="8" t="s">
        <v>1477</v>
      </c>
      <c r="C1119" s="35" t="s">
        <v>401</v>
      </c>
      <c r="D1119" s="36" t="s">
        <v>45</v>
      </c>
      <c r="E1119" s="37" t="s">
        <v>779</v>
      </c>
      <c r="F1119" s="35" t="s">
        <v>394</v>
      </c>
      <c r="G1119" s="7"/>
      <c r="H1119" s="7"/>
      <c r="I1119" s="12"/>
    </row>
    <row r="1120" spans="1:9" ht="38.25" x14ac:dyDescent="0.2">
      <c r="A1120" s="35" t="str">
        <f>HYPERLINK("https://mississippidhs.jamacloud.com/perspective.req?projectId=53&amp;docId=29048","LSRP-SHRQ-1111")</f>
        <v>LSRP-SHRQ-1111</v>
      </c>
      <c r="B1120" s="8" t="s">
        <v>1478</v>
      </c>
      <c r="C1120" s="35" t="s">
        <v>401</v>
      </c>
      <c r="D1120" s="36" t="s">
        <v>45</v>
      </c>
      <c r="E1120" s="37" t="s">
        <v>779</v>
      </c>
      <c r="F1120" s="35" t="s">
        <v>394</v>
      </c>
      <c r="G1120" s="7"/>
      <c r="H1120" s="7"/>
      <c r="I1120" s="12"/>
    </row>
    <row r="1121" spans="1:9" ht="25.5" x14ac:dyDescent="0.2">
      <c r="A1121" s="35" t="str">
        <f>HYPERLINK("https://mississippidhs.jamacloud.com/perspective.req?projectId=53&amp;docId=29049","LSRP-SHRQ-1112")</f>
        <v>LSRP-SHRQ-1112</v>
      </c>
      <c r="B1121" s="8" t="s">
        <v>1479</v>
      </c>
      <c r="C1121" s="35" t="s">
        <v>401</v>
      </c>
      <c r="D1121" s="36" t="s">
        <v>45</v>
      </c>
      <c r="E1121" s="37" t="s">
        <v>779</v>
      </c>
      <c r="F1121" s="35" t="s">
        <v>394</v>
      </c>
      <c r="G1121" s="7"/>
      <c r="H1121" s="7"/>
      <c r="I1121" s="12"/>
    </row>
    <row r="1122" spans="1:9" ht="25.5" x14ac:dyDescent="0.2">
      <c r="A1122" s="35" t="str">
        <f>HYPERLINK("https://mississippidhs.jamacloud.com/perspective.req?projectId=53&amp;docId=29050","LSRP-SHRQ-1113")</f>
        <v>LSRP-SHRQ-1113</v>
      </c>
      <c r="B1122" s="8" t="s">
        <v>1480</v>
      </c>
      <c r="C1122" s="35" t="s">
        <v>401</v>
      </c>
      <c r="D1122" s="36" t="s">
        <v>45</v>
      </c>
      <c r="E1122" s="37" t="s">
        <v>779</v>
      </c>
      <c r="F1122" s="35" t="s">
        <v>322</v>
      </c>
      <c r="G1122" s="7"/>
      <c r="H1122" s="7"/>
      <c r="I1122" s="12"/>
    </row>
    <row r="1123" spans="1:9" ht="51" x14ac:dyDescent="0.2">
      <c r="A1123" s="35" t="str">
        <f>HYPERLINK("https://mississippidhs.jamacloud.com/perspective.req?projectId=53&amp;docId=29051","LSRP-SHRQ-1114")</f>
        <v>LSRP-SHRQ-1114</v>
      </c>
      <c r="B1123" s="8" t="s">
        <v>1481</v>
      </c>
      <c r="C1123" s="35" t="s">
        <v>401</v>
      </c>
      <c r="D1123" s="36" t="s">
        <v>45</v>
      </c>
      <c r="E1123" s="37" t="s">
        <v>779</v>
      </c>
      <c r="F1123" s="35" t="s">
        <v>394</v>
      </c>
      <c r="G1123" s="7"/>
      <c r="H1123" s="7"/>
      <c r="I1123" s="12"/>
    </row>
    <row r="1124" spans="1:9" ht="25.5" x14ac:dyDescent="0.2">
      <c r="A1124" s="35" t="str">
        <f>HYPERLINK("https://mississippidhs.jamacloud.com/perspective.req?projectId=53&amp;docId=29052","LSRP-SHRQ-1115")</f>
        <v>LSRP-SHRQ-1115</v>
      </c>
      <c r="B1124" s="8" t="s">
        <v>1482</v>
      </c>
      <c r="C1124" s="35" t="s">
        <v>401</v>
      </c>
      <c r="D1124" s="36" t="s">
        <v>45</v>
      </c>
      <c r="E1124" s="37" t="s">
        <v>779</v>
      </c>
      <c r="F1124" s="35" t="s">
        <v>394</v>
      </c>
      <c r="G1124" s="7"/>
      <c r="H1124" s="7"/>
      <c r="I1124" s="12"/>
    </row>
    <row r="1125" spans="1:9" ht="76.5" x14ac:dyDescent="0.2">
      <c r="A1125" s="35" t="str">
        <f>HYPERLINK("https://mississippidhs.jamacloud.com/perspective.req?projectId=53&amp;docId=29053","LSRP-SHRQ-1116")</f>
        <v>LSRP-SHRQ-1116</v>
      </c>
      <c r="B1125" s="8" t="s">
        <v>1483</v>
      </c>
      <c r="C1125" s="35" t="s">
        <v>401</v>
      </c>
      <c r="D1125" s="36" t="s">
        <v>45</v>
      </c>
      <c r="E1125" s="37" t="s">
        <v>779</v>
      </c>
      <c r="F1125" s="35" t="s">
        <v>394</v>
      </c>
      <c r="G1125" s="7"/>
      <c r="H1125" s="7"/>
      <c r="I1125" s="12"/>
    </row>
    <row r="1126" spans="1:9" ht="25.5" x14ac:dyDescent="0.2">
      <c r="A1126" s="35" t="str">
        <f>HYPERLINK("https://mississippidhs.jamacloud.com/perspective.req?projectId=53&amp;docId=29055","LSRP-SHRQ-1117")</f>
        <v>LSRP-SHRQ-1117</v>
      </c>
      <c r="B1126" s="8" t="s">
        <v>1484</v>
      </c>
      <c r="C1126" s="35" t="s">
        <v>401</v>
      </c>
      <c r="D1126" s="36" t="s">
        <v>41</v>
      </c>
      <c r="E1126" s="37" t="s">
        <v>779</v>
      </c>
      <c r="F1126" s="35" t="s">
        <v>545</v>
      </c>
      <c r="G1126" s="7"/>
      <c r="H1126" s="7"/>
      <c r="I1126" s="12"/>
    </row>
    <row r="1127" spans="1:9" ht="51" x14ac:dyDescent="0.2">
      <c r="A1127" s="35" t="str">
        <f>HYPERLINK("https://mississippidhs.jamacloud.com/perspective.req?projectId=53&amp;docId=29056","LSRP-SHRQ-1118")</f>
        <v>LSRP-SHRQ-1118</v>
      </c>
      <c r="B1127" s="8" t="s">
        <v>1485</v>
      </c>
      <c r="C1127" s="35" t="s">
        <v>401</v>
      </c>
      <c r="D1127" s="36" t="s">
        <v>41</v>
      </c>
      <c r="E1127" s="37" t="s">
        <v>779</v>
      </c>
      <c r="F1127" s="35" t="s">
        <v>545</v>
      </c>
      <c r="G1127" s="7"/>
      <c r="H1127" s="7"/>
      <c r="I1127" s="12"/>
    </row>
    <row r="1128" spans="1:9" ht="25.5" x14ac:dyDescent="0.2">
      <c r="A1128" s="35" t="str">
        <f>HYPERLINK("https://mississippidhs.jamacloud.com/perspective.req?projectId=53&amp;docId=29057","LSRP-SHRQ-1119")</f>
        <v>LSRP-SHRQ-1119</v>
      </c>
      <c r="B1128" s="8" t="s">
        <v>1486</v>
      </c>
      <c r="C1128" s="35" t="s">
        <v>401</v>
      </c>
      <c r="D1128" s="36" t="s">
        <v>41</v>
      </c>
      <c r="E1128" s="37" t="s">
        <v>779</v>
      </c>
      <c r="F1128" s="35" t="s">
        <v>545</v>
      </c>
      <c r="G1128" s="7"/>
      <c r="H1128" s="7"/>
      <c r="I1128" s="12"/>
    </row>
    <row r="1129" spans="1:9" ht="102" x14ac:dyDescent="0.2">
      <c r="A1129" s="35" t="str">
        <f>HYPERLINK("https://mississippidhs.jamacloud.com/perspective.req?projectId=53&amp;docId=29058","LSRP-SHRQ-1120")</f>
        <v>LSRP-SHRQ-1120</v>
      </c>
      <c r="B1129" s="8" t="s">
        <v>1487</v>
      </c>
      <c r="C1129" s="35" t="s">
        <v>401</v>
      </c>
      <c r="D1129" s="36" t="s">
        <v>41</v>
      </c>
      <c r="E1129" s="37" t="s">
        <v>779</v>
      </c>
      <c r="F1129" s="35" t="s">
        <v>545</v>
      </c>
      <c r="G1129" s="7"/>
      <c r="H1129" s="7"/>
      <c r="I1129" s="12"/>
    </row>
    <row r="1130" spans="1:9" ht="25.5" x14ac:dyDescent="0.2">
      <c r="A1130" s="35" t="str">
        <f>HYPERLINK("https://mississippidhs.jamacloud.com/perspective.req?projectId=53&amp;docId=29059","LSRP-SHRQ-1121")</f>
        <v>LSRP-SHRQ-1121</v>
      </c>
      <c r="B1130" s="8" t="s">
        <v>1488</v>
      </c>
      <c r="C1130" s="35" t="s">
        <v>401</v>
      </c>
      <c r="D1130" s="36" t="s">
        <v>41</v>
      </c>
      <c r="E1130" s="37" t="s">
        <v>779</v>
      </c>
      <c r="F1130" s="35" t="s">
        <v>545</v>
      </c>
      <c r="G1130" s="7"/>
      <c r="H1130" s="7"/>
      <c r="I1130" s="12"/>
    </row>
    <row r="1131" spans="1:9" ht="25.5" x14ac:dyDescent="0.2">
      <c r="A1131" s="35" t="str">
        <f>HYPERLINK("https://mississippidhs.jamacloud.com/perspective.req?projectId=53&amp;docId=29060","LSRP-SHRQ-1122")</f>
        <v>LSRP-SHRQ-1122</v>
      </c>
      <c r="B1131" s="8" t="s">
        <v>1489</v>
      </c>
      <c r="C1131" s="35" t="s">
        <v>401</v>
      </c>
      <c r="D1131" s="36" t="s">
        <v>41</v>
      </c>
      <c r="E1131" s="37" t="s">
        <v>779</v>
      </c>
      <c r="F1131" s="35" t="s">
        <v>545</v>
      </c>
      <c r="G1131" s="7"/>
      <c r="H1131" s="7"/>
      <c r="I1131" s="12"/>
    </row>
    <row r="1132" spans="1:9" ht="25.5" x14ac:dyDescent="0.2">
      <c r="A1132" s="35" t="str">
        <f>HYPERLINK("https://mississippidhs.jamacloud.com/perspective.req?projectId=53&amp;docId=29061","LSRP-SHRQ-1123")</f>
        <v>LSRP-SHRQ-1123</v>
      </c>
      <c r="B1132" s="8" t="s">
        <v>1490</v>
      </c>
      <c r="C1132" s="35" t="s">
        <v>401</v>
      </c>
      <c r="D1132" s="36" t="s">
        <v>41</v>
      </c>
      <c r="E1132" s="37" t="s">
        <v>779</v>
      </c>
      <c r="F1132" s="35" t="s">
        <v>545</v>
      </c>
      <c r="G1132" s="7"/>
      <c r="H1132" s="7"/>
      <c r="I1132" s="12"/>
    </row>
    <row r="1133" spans="1:9" ht="14.25" x14ac:dyDescent="0.2">
      <c r="A1133" s="35" t="str">
        <f>HYPERLINK("https://mississippidhs.jamacloud.com/perspective.req?projectId=53&amp;docId=29062","LSRP-SHRQ-1124")</f>
        <v>LSRP-SHRQ-1124</v>
      </c>
      <c r="B1133" s="8" t="s">
        <v>1146</v>
      </c>
      <c r="C1133" s="35" t="s">
        <v>401</v>
      </c>
      <c r="D1133" s="36" t="s">
        <v>41</v>
      </c>
      <c r="E1133" s="37" t="s">
        <v>779</v>
      </c>
      <c r="F1133" s="35" t="s">
        <v>545</v>
      </c>
      <c r="G1133" s="7"/>
      <c r="H1133" s="7"/>
      <c r="I1133" s="12"/>
    </row>
    <row r="1134" spans="1:9" ht="25.5" x14ac:dyDescent="0.2">
      <c r="A1134" s="35" t="str">
        <f>HYPERLINK("https://mississippidhs.jamacloud.com/perspective.req?projectId=53&amp;docId=29063","LSRP-SHRQ-1125")</f>
        <v>LSRP-SHRQ-1125</v>
      </c>
      <c r="B1134" s="8" t="s">
        <v>1491</v>
      </c>
      <c r="C1134" s="35" t="s">
        <v>401</v>
      </c>
      <c r="D1134" s="36" t="s">
        <v>41</v>
      </c>
      <c r="E1134" s="37" t="s">
        <v>779</v>
      </c>
      <c r="F1134" s="35" t="s">
        <v>545</v>
      </c>
      <c r="G1134" s="7"/>
      <c r="H1134" s="7"/>
      <c r="I1134" s="12"/>
    </row>
    <row r="1135" spans="1:9" ht="25.5" x14ac:dyDescent="0.2">
      <c r="A1135" s="35" t="str">
        <f>HYPERLINK("https://mississippidhs.jamacloud.com/perspective.req?projectId=53&amp;docId=29064","LSRP-SHRQ-1126")</f>
        <v>LSRP-SHRQ-1126</v>
      </c>
      <c r="B1135" s="8" t="s">
        <v>1492</v>
      </c>
      <c r="C1135" s="35" t="s">
        <v>401</v>
      </c>
      <c r="D1135" s="36" t="s">
        <v>41</v>
      </c>
      <c r="E1135" s="37" t="s">
        <v>779</v>
      </c>
      <c r="F1135" s="35" t="s">
        <v>545</v>
      </c>
      <c r="G1135" s="7"/>
      <c r="H1135" s="7"/>
      <c r="I1135" s="12"/>
    </row>
    <row r="1136" spans="1:9" ht="25.5" x14ac:dyDescent="0.2">
      <c r="A1136" s="35" t="str">
        <f>HYPERLINK("https://mississippidhs.jamacloud.com/perspective.req?projectId=53&amp;docId=29065","LSRP-SHRQ-1127")</f>
        <v>LSRP-SHRQ-1127</v>
      </c>
      <c r="B1136" s="8" t="s">
        <v>1493</v>
      </c>
      <c r="C1136" s="35" t="s">
        <v>401</v>
      </c>
      <c r="D1136" s="36" t="s">
        <v>41</v>
      </c>
      <c r="E1136" s="37" t="s">
        <v>779</v>
      </c>
      <c r="F1136" s="35" t="s">
        <v>545</v>
      </c>
      <c r="G1136" s="7"/>
      <c r="H1136" s="7"/>
      <c r="I1136" s="12"/>
    </row>
    <row r="1137" spans="1:9" ht="25.5" x14ac:dyDescent="0.2">
      <c r="A1137" s="35" t="str">
        <f>HYPERLINK("https://mississippidhs.jamacloud.com/perspective.req?projectId=53&amp;docId=29066","LSRP-SHRQ-1128")</f>
        <v>LSRP-SHRQ-1128</v>
      </c>
      <c r="B1137" s="8" t="s">
        <v>1494</v>
      </c>
      <c r="C1137" s="35" t="s">
        <v>401</v>
      </c>
      <c r="D1137" s="36" t="s">
        <v>41</v>
      </c>
      <c r="E1137" s="37" t="s">
        <v>779</v>
      </c>
      <c r="F1137" s="35" t="s">
        <v>545</v>
      </c>
      <c r="G1137" s="7"/>
      <c r="H1137" s="7"/>
      <c r="I1137" s="12"/>
    </row>
    <row r="1138" spans="1:9" ht="25.5" x14ac:dyDescent="0.2">
      <c r="A1138" s="35" t="str">
        <f>HYPERLINK("https://mississippidhs.jamacloud.com/perspective.req?projectId=53&amp;docId=29067","LSRP-SHRQ-1129")</f>
        <v>LSRP-SHRQ-1129</v>
      </c>
      <c r="B1138" s="8" t="s">
        <v>1495</v>
      </c>
      <c r="C1138" s="35" t="s">
        <v>401</v>
      </c>
      <c r="D1138" s="36" t="s">
        <v>41</v>
      </c>
      <c r="E1138" s="37" t="s">
        <v>779</v>
      </c>
      <c r="F1138" s="35" t="s">
        <v>545</v>
      </c>
      <c r="G1138" s="7"/>
      <c r="H1138" s="7"/>
      <c r="I1138" s="12"/>
    </row>
    <row r="1139" spans="1:9" ht="25.5" x14ac:dyDescent="0.2">
      <c r="A1139" s="35" t="str">
        <f>HYPERLINK("https://mississippidhs.jamacloud.com/perspective.req?projectId=53&amp;docId=29068","LSRP-SHRQ-1130")</f>
        <v>LSRP-SHRQ-1130</v>
      </c>
      <c r="B1139" s="8" t="s">
        <v>1496</v>
      </c>
      <c r="C1139" s="35" t="s">
        <v>401</v>
      </c>
      <c r="D1139" s="36" t="s">
        <v>41</v>
      </c>
      <c r="E1139" s="37" t="s">
        <v>779</v>
      </c>
      <c r="F1139" s="35" t="s">
        <v>545</v>
      </c>
      <c r="G1139" s="7"/>
      <c r="H1139" s="7"/>
      <c r="I1139" s="12"/>
    </row>
    <row r="1140" spans="1:9" ht="25.5" x14ac:dyDescent="0.2">
      <c r="A1140" s="35" t="str">
        <f>HYPERLINK("https://mississippidhs.jamacloud.com/perspective.req?projectId=53&amp;docId=29069","LSRP-SHRQ-1131")</f>
        <v>LSRP-SHRQ-1131</v>
      </c>
      <c r="B1140" s="8" t="s">
        <v>1497</v>
      </c>
      <c r="C1140" s="35" t="s">
        <v>401</v>
      </c>
      <c r="D1140" s="36" t="s">
        <v>41</v>
      </c>
      <c r="E1140" s="37" t="s">
        <v>779</v>
      </c>
      <c r="F1140" s="35" t="s">
        <v>545</v>
      </c>
      <c r="G1140" s="7"/>
      <c r="H1140" s="7"/>
      <c r="I1140" s="12"/>
    </row>
    <row r="1141" spans="1:9" ht="38.25" x14ac:dyDescent="0.2">
      <c r="A1141" s="35" t="str">
        <f>HYPERLINK("https://mississippidhs.jamacloud.com/perspective.req?projectId=53&amp;docId=29070","LSRP-SHRQ-1132")</f>
        <v>LSRP-SHRQ-1132</v>
      </c>
      <c r="B1141" s="8" t="s">
        <v>1498</v>
      </c>
      <c r="C1141" s="35" t="s">
        <v>401</v>
      </c>
      <c r="D1141" s="36" t="s">
        <v>41</v>
      </c>
      <c r="E1141" s="37" t="s">
        <v>779</v>
      </c>
      <c r="F1141" s="35" t="s">
        <v>545</v>
      </c>
      <c r="G1141" s="7"/>
      <c r="H1141" s="7"/>
      <c r="I1141" s="12"/>
    </row>
    <row r="1142" spans="1:9" ht="63.75" x14ac:dyDescent="0.2">
      <c r="A1142" s="35" t="str">
        <f>HYPERLINK("https://mississippidhs.jamacloud.com/perspective.req?projectId=53&amp;docId=29071","LSRP-SHRQ-1133")</f>
        <v>LSRP-SHRQ-1133</v>
      </c>
      <c r="B1142" s="8" t="s">
        <v>1499</v>
      </c>
      <c r="C1142" s="35" t="s">
        <v>401</v>
      </c>
      <c r="D1142" s="36" t="s">
        <v>41</v>
      </c>
      <c r="E1142" s="37" t="s">
        <v>779</v>
      </c>
      <c r="F1142" s="35" t="s">
        <v>545</v>
      </c>
      <c r="G1142" s="7"/>
      <c r="H1142" s="7"/>
      <c r="I1142" s="12"/>
    </row>
    <row r="1143" spans="1:9" ht="14.25" x14ac:dyDescent="0.2">
      <c r="A1143" s="35" t="str">
        <f>HYPERLINK("https://mississippidhs.jamacloud.com/perspective.req?projectId=53&amp;docId=29072","LSRP-SHRQ-1134")</f>
        <v>LSRP-SHRQ-1134</v>
      </c>
      <c r="B1143" s="8" t="s">
        <v>1500</v>
      </c>
      <c r="C1143" s="35" t="s">
        <v>401</v>
      </c>
      <c r="D1143" s="36" t="s">
        <v>41</v>
      </c>
      <c r="E1143" s="37" t="s">
        <v>779</v>
      </c>
      <c r="F1143" s="35" t="s">
        <v>545</v>
      </c>
      <c r="G1143" s="7"/>
      <c r="H1143" s="7"/>
      <c r="I1143" s="12"/>
    </row>
    <row r="1144" spans="1:9" ht="38.25" x14ac:dyDescent="0.2">
      <c r="A1144" s="35" t="str">
        <f>HYPERLINK("https://mississippidhs.jamacloud.com/perspective.req?projectId=53&amp;docId=29073","LSRP-SHRQ-1135")</f>
        <v>LSRP-SHRQ-1135</v>
      </c>
      <c r="B1144" s="8" t="s">
        <v>1501</v>
      </c>
      <c r="C1144" s="35" t="s">
        <v>401</v>
      </c>
      <c r="D1144" s="36" t="s">
        <v>41</v>
      </c>
      <c r="E1144" s="37" t="s">
        <v>779</v>
      </c>
      <c r="F1144" s="35" t="s">
        <v>545</v>
      </c>
      <c r="G1144" s="7"/>
      <c r="H1144" s="7"/>
      <c r="I1144" s="12"/>
    </row>
    <row r="1145" spans="1:9" ht="38.25" x14ac:dyDescent="0.2">
      <c r="A1145" s="35" t="str">
        <f>HYPERLINK("https://mississippidhs.jamacloud.com/perspective.req?projectId=53&amp;docId=29074","LSRP-SHRQ-1136")</f>
        <v>LSRP-SHRQ-1136</v>
      </c>
      <c r="B1145" s="8" t="s">
        <v>1502</v>
      </c>
      <c r="C1145" s="35" t="s">
        <v>401</v>
      </c>
      <c r="D1145" s="36" t="s">
        <v>41</v>
      </c>
      <c r="E1145" s="37" t="s">
        <v>779</v>
      </c>
      <c r="F1145" s="35" t="s">
        <v>545</v>
      </c>
      <c r="G1145" s="7"/>
      <c r="H1145" s="7"/>
      <c r="I1145" s="12"/>
    </row>
    <row r="1146" spans="1:9" ht="25.5" x14ac:dyDescent="0.2">
      <c r="A1146" s="35" t="str">
        <f>HYPERLINK("https://mississippidhs.jamacloud.com/perspective.req?projectId=53&amp;docId=29075","LSRP-SHRQ-1137")</f>
        <v>LSRP-SHRQ-1137</v>
      </c>
      <c r="B1146" s="8" t="s">
        <v>1503</v>
      </c>
      <c r="C1146" s="35" t="s">
        <v>401</v>
      </c>
      <c r="D1146" s="36" t="s">
        <v>41</v>
      </c>
      <c r="E1146" s="37" t="s">
        <v>779</v>
      </c>
      <c r="F1146" s="35" t="s">
        <v>545</v>
      </c>
      <c r="G1146" s="7"/>
      <c r="H1146" s="7"/>
      <c r="I1146" s="12"/>
    </row>
    <row r="1147" spans="1:9" ht="38.25" x14ac:dyDescent="0.2">
      <c r="A1147" s="35" t="str">
        <f>HYPERLINK("https://mississippidhs.jamacloud.com/perspective.req?projectId=53&amp;docId=29076","LSRP-SHRQ-1138")</f>
        <v>LSRP-SHRQ-1138</v>
      </c>
      <c r="B1147" s="8" t="s">
        <v>1504</v>
      </c>
      <c r="C1147" s="35" t="s">
        <v>401</v>
      </c>
      <c r="D1147" s="36" t="s">
        <v>41</v>
      </c>
      <c r="E1147" s="37" t="s">
        <v>779</v>
      </c>
      <c r="F1147" s="35" t="s">
        <v>545</v>
      </c>
      <c r="G1147" s="7"/>
      <c r="H1147" s="7"/>
      <c r="I1147" s="12"/>
    </row>
    <row r="1148" spans="1:9" ht="25.5" x14ac:dyDescent="0.2">
      <c r="A1148" s="35" t="str">
        <f>HYPERLINK("https://mississippidhs.jamacloud.com/perspective.req?projectId=53&amp;docId=29077","LSRP-SHRQ-1139")</f>
        <v>LSRP-SHRQ-1139</v>
      </c>
      <c r="B1148" s="8" t="s">
        <v>1505</v>
      </c>
      <c r="C1148" s="35" t="s">
        <v>401</v>
      </c>
      <c r="D1148" s="36" t="s">
        <v>41</v>
      </c>
      <c r="E1148" s="37" t="s">
        <v>779</v>
      </c>
      <c r="F1148" s="35" t="s">
        <v>545</v>
      </c>
      <c r="G1148" s="7"/>
      <c r="H1148" s="7"/>
      <c r="I1148" s="12"/>
    </row>
    <row r="1149" spans="1:9" ht="25.5" x14ac:dyDescent="0.2">
      <c r="A1149" s="35" t="str">
        <f>HYPERLINK("https://mississippidhs.jamacloud.com/perspective.req?projectId=53&amp;docId=29078","LSRP-SHRQ-1140")</f>
        <v>LSRP-SHRQ-1140</v>
      </c>
      <c r="B1149" s="8" t="s">
        <v>1506</v>
      </c>
      <c r="C1149" s="35" t="s">
        <v>401</v>
      </c>
      <c r="D1149" s="36" t="s">
        <v>41</v>
      </c>
      <c r="E1149" s="37" t="s">
        <v>779</v>
      </c>
      <c r="F1149" s="35" t="s">
        <v>545</v>
      </c>
      <c r="G1149" s="7"/>
      <c r="H1149" s="7"/>
      <c r="I1149" s="12"/>
    </row>
    <row r="1150" spans="1:9" ht="38.25" x14ac:dyDescent="0.2">
      <c r="A1150" s="35" t="str">
        <f>HYPERLINK("https://mississippidhs.jamacloud.com/perspective.req?projectId=53&amp;docId=29079","LSRP-SHRQ-1141")</f>
        <v>LSRP-SHRQ-1141</v>
      </c>
      <c r="B1150" s="8" t="s">
        <v>1507</v>
      </c>
      <c r="C1150" s="35" t="s">
        <v>401</v>
      </c>
      <c r="D1150" s="36" t="s">
        <v>41</v>
      </c>
      <c r="E1150" s="37" t="s">
        <v>779</v>
      </c>
      <c r="F1150" s="35" t="s">
        <v>545</v>
      </c>
      <c r="G1150" s="7"/>
      <c r="H1150" s="7"/>
      <c r="I1150" s="12"/>
    </row>
    <row r="1151" spans="1:9" ht="38.25" x14ac:dyDescent="0.2">
      <c r="A1151" s="35" t="str">
        <f>HYPERLINK("https://mississippidhs.jamacloud.com/perspective.req?projectId=53&amp;docId=29080","LSRP-SHRQ-1142")</f>
        <v>LSRP-SHRQ-1142</v>
      </c>
      <c r="B1151" s="8" t="s">
        <v>1508</v>
      </c>
      <c r="C1151" s="35" t="s">
        <v>401</v>
      </c>
      <c r="D1151" s="36" t="s">
        <v>41</v>
      </c>
      <c r="E1151" s="37" t="s">
        <v>779</v>
      </c>
      <c r="F1151" s="35" t="s">
        <v>545</v>
      </c>
      <c r="G1151" s="7"/>
      <c r="H1151" s="7"/>
      <c r="I1151" s="12"/>
    </row>
    <row r="1152" spans="1:9" ht="25.5" x14ac:dyDescent="0.2">
      <c r="A1152" s="35" t="str">
        <f>HYPERLINK("https://mississippidhs.jamacloud.com/perspective.req?projectId=53&amp;docId=29081","LSRP-SHRQ-1143")</f>
        <v>LSRP-SHRQ-1143</v>
      </c>
      <c r="B1152" s="8" t="s">
        <v>1509</v>
      </c>
      <c r="C1152" s="35" t="s">
        <v>401</v>
      </c>
      <c r="D1152" s="36" t="s">
        <v>41</v>
      </c>
      <c r="E1152" s="37" t="s">
        <v>779</v>
      </c>
      <c r="F1152" s="35" t="s">
        <v>545</v>
      </c>
      <c r="G1152" s="7"/>
      <c r="H1152" s="7"/>
      <c r="I1152" s="12"/>
    </row>
    <row r="1153" spans="1:9" ht="38.25" x14ac:dyDescent="0.2">
      <c r="A1153" s="35" t="str">
        <f>HYPERLINK("https://mississippidhs.jamacloud.com/perspective.req?projectId=53&amp;docId=29082","LSRP-SHRQ-1144")</f>
        <v>LSRP-SHRQ-1144</v>
      </c>
      <c r="B1153" s="8" t="s">
        <v>1510</v>
      </c>
      <c r="C1153" s="35" t="s">
        <v>401</v>
      </c>
      <c r="D1153" s="36" t="s">
        <v>41</v>
      </c>
      <c r="E1153" s="37" t="s">
        <v>779</v>
      </c>
      <c r="F1153" s="35" t="s">
        <v>545</v>
      </c>
      <c r="G1153" s="7"/>
      <c r="H1153" s="7"/>
      <c r="I1153" s="12"/>
    </row>
    <row r="1154" spans="1:9" ht="25.5" x14ac:dyDescent="0.2">
      <c r="A1154" s="35" t="str">
        <f>HYPERLINK("https://mississippidhs.jamacloud.com/perspective.req?projectId=53&amp;docId=29083","LSRP-SHRQ-1145")</f>
        <v>LSRP-SHRQ-1145</v>
      </c>
      <c r="B1154" s="8" t="s">
        <v>1511</v>
      </c>
      <c r="C1154" s="35" t="s">
        <v>401</v>
      </c>
      <c r="D1154" s="36" t="s">
        <v>41</v>
      </c>
      <c r="E1154" s="37" t="s">
        <v>779</v>
      </c>
      <c r="F1154" s="35" t="s">
        <v>545</v>
      </c>
      <c r="G1154" s="7"/>
      <c r="H1154" s="7"/>
      <c r="I1154" s="12"/>
    </row>
    <row r="1155" spans="1:9" ht="38.25" x14ac:dyDescent="0.2">
      <c r="A1155" s="35" t="str">
        <f>HYPERLINK("https://mississippidhs.jamacloud.com/perspective.req?projectId=53&amp;docId=29084","LSRP-SHRQ-1146")</f>
        <v>LSRP-SHRQ-1146</v>
      </c>
      <c r="B1155" s="8" t="s">
        <v>1512</v>
      </c>
      <c r="C1155" s="35" t="s">
        <v>401</v>
      </c>
      <c r="D1155" s="36" t="s">
        <v>41</v>
      </c>
      <c r="E1155" s="37" t="s">
        <v>779</v>
      </c>
      <c r="F1155" s="35" t="s">
        <v>545</v>
      </c>
      <c r="G1155" s="7"/>
      <c r="H1155" s="7"/>
      <c r="I1155" s="12"/>
    </row>
    <row r="1156" spans="1:9" ht="63.75" x14ac:dyDescent="0.2">
      <c r="A1156" s="35" t="str">
        <f>HYPERLINK("https://mississippidhs.jamacloud.com/perspective.req?projectId=53&amp;docId=29085","LSRP-SHRQ-1147")</f>
        <v>LSRP-SHRQ-1147</v>
      </c>
      <c r="B1156" s="8" t="s">
        <v>1513</v>
      </c>
      <c r="C1156" s="35" t="s">
        <v>401</v>
      </c>
      <c r="D1156" s="36" t="s">
        <v>41</v>
      </c>
      <c r="E1156" s="37" t="s">
        <v>779</v>
      </c>
      <c r="F1156" s="35" t="s">
        <v>545</v>
      </c>
      <c r="G1156" s="7"/>
      <c r="H1156" s="7"/>
      <c r="I1156" s="12"/>
    </row>
    <row r="1157" spans="1:9" ht="25.5" x14ac:dyDescent="0.2">
      <c r="A1157" s="35" t="str">
        <f>HYPERLINK("https://mississippidhs.jamacloud.com/perspective.req?projectId=53&amp;docId=29086","LSRP-SHRQ-1148")</f>
        <v>LSRP-SHRQ-1148</v>
      </c>
      <c r="B1157" s="8" t="s">
        <v>1514</v>
      </c>
      <c r="C1157" s="35" t="s">
        <v>401</v>
      </c>
      <c r="D1157" s="36" t="s">
        <v>41</v>
      </c>
      <c r="E1157" s="37" t="s">
        <v>779</v>
      </c>
      <c r="F1157" s="35" t="s">
        <v>545</v>
      </c>
      <c r="G1157" s="7"/>
      <c r="H1157" s="7"/>
      <c r="I1157" s="12"/>
    </row>
    <row r="1158" spans="1:9" ht="25.5" x14ac:dyDescent="0.2">
      <c r="A1158" s="35" t="str">
        <f>HYPERLINK("https://mississippidhs.jamacloud.com/perspective.req?projectId=53&amp;docId=29087","LSRP-SHRQ-1149")</f>
        <v>LSRP-SHRQ-1149</v>
      </c>
      <c r="B1158" s="8" t="s">
        <v>1515</v>
      </c>
      <c r="C1158" s="35" t="s">
        <v>401</v>
      </c>
      <c r="D1158" s="36" t="s">
        <v>41</v>
      </c>
      <c r="E1158" s="37" t="s">
        <v>779</v>
      </c>
      <c r="F1158" s="35" t="s">
        <v>545</v>
      </c>
      <c r="G1158" s="7"/>
      <c r="H1158" s="7"/>
      <c r="I1158" s="12"/>
    </row>
    <row r="1159" spans="1:9" ht="25.5" x14ac:dyDescent="0.2">
      <c r="A1159" s="35" t="str">
        <f>HYPERLINK("https://mississippidhs.jamacloud.com/perspective.req?projectId=53&amp;docId=29088","LSRP-SHRQ-1150")</f>
        <v>LSRP-SHRQ-1150</v>
      </c>
      <c r="B1159" s="8" t="s">
        <v>1516</v>
      </c>
      <c r="C1159" s="35" t="s">
        <v>401</v>
      </c>
      <c r="D1159" s="36" t="s">
        <v>41</v>
      </c>
      <c r="E1159" s="37" t="s">
        <v>779</v>
      </c>
      <c r="F1159" s="35" t="s">
        <v>545</v>
      </c>
      <c r="G1159" s="7"/>
      <c r="H1159" s="7"/>
      <c r="I1159" s="12"/>
    </row>
    <row r="1160" spans="1:9" ht="14.25" x14ac:dyDescent="0.2">
      <c r="A1160" s="35" t="str">
        <f>HYPERLINK("https://mississippidhs.jamacloud.com/perspective.req?projectId=53&amp;docId=29089","LSRP-SHRQ-1151")</f>
        <v>LSRP-SHRQ-1151</v>
      </c>
      <c r="B1160" s="8" t="s">
        <v>1517</v>
      </c>
      <c r="C1160" s="35" t="s">
        <v>401</v>
      </c>
      <c r="D1160" s="36" t="s">
        <v>41</v>
      </c>
      <c r="E1160" s="37" t="s">
        <v>779</v>
      </c>
      <c r="F1160" s="35" t="s">
        <v>1518</v>
      </c>
      <c r="G1160" s="7"/>
      <c r="H1160" s="7"/>
      <c r="I1160" s="12"/>
    </row>
    <row r="1161" spans="1:9" ht="25.5" x14ac:dyDescent="0.2">
      <c r="A1161" s="35" t="str">
        <f>HYPERLINK("https://mississippidhs.jamacloud.com/perspective.req?projectId=53&amp;docId=29090","LSRP-SHRQ-1152")</f>
        <v>LSRP-SHRQ-1152</v>
      </c>
      <c r="B1161" s="8" t="s">
        <v>1519</v>
      </c>
      <c r="C1161" s="35" t="s">
        <v>401</v>
      </c>
      <c r="D1161" s="36" t="s">
        <v>41</v>
      </c>
      <c r="E1161" s="37" t="s">
        <v>779</v>
      </c>
      <c r="F1161" s="35" t="s">
        <v>545</v>
      </c>
      <c r="G1161" s="7"/>
      <c r="H1161" s="7"/>
      <c r="I1161" s="12"/>
    </row>
    <row r="1162" spans="1:9" ht="14.25" x14ac:dyDescent="0.2">
      <c r="A1162" s="35" t="str">
        <f>HYPERLINK("https://mississippidhs.jamacloud.com/perspective.req?projectId=53&amp;docId=29091","LSRP-SHRQ-1153")</f>
        <v>LSRP-SHRQ-1153</v>
      </c>
      <c r="B1162" s="8" t="s">
        <v>1520</v>
      </c>
      <c r="C1162" s="35" t="s">
        <v>401</v>
      </c>
      <c r="D1162" s="36" t="s">
        <v>41</v>
      </c>
      <c r="E1162" s="37" t="s">
        <v>779</v>
      </c>
      <c r="F1162" s="35" t="s">
        <v>545</v>
      </c>
      <c r="G1162" s="7"/>
      <c r="H1162" s="7"/>
      <c r="I1162" s="12"/>
    </row>
    <row r="1163" spans="1:9" ht="38.25" x14ac:dyDescent="0.2">
      <c r="A1163" s="35" t="str">
        <f>HYPERLINK("https://mississippidhs.jamacloud.com/perspective.req?projectId=53&amp;docId=29092","LSRP-SHRQ-1154")</f>
        <v>LSRP-SHRQ-1154</v>
      </c>
      <c r="B1163" s="8" t="s">
        <v>1521</v>
      </c>
      <c r="C1163" s="35" t="s">
        <v>401</v>
      </c>
      <c r="D1163" s="36" t="s">
        <v>41</v>
      </c>
      <c r="E1163" s="37" t="s">
        <v>779</v>
      </c>
      <c r="F1163" s="35" t="s">
        <v>545</v>
      </c>
      <c r="G1163" s="7"/>
      <c r="H1163" s="7"/>
      <c r="I1163" s="12"/>
    </row>
    <row r="1164" spans="1:9" ht="25.5" x14ac:dyDescent="0.2">
      <c r="A1164" s="35" t="str">
        <f>HYPERLINK("https://mississippidhs.jamacloud.com/perspective.req?projectId=53&amp;docId=29093","LSRP-SHRQ-1155")</f>
        <v>LSRP-SHRQ-1155</v>
      </c>
      <c r="B1164" s="8" t="s">
        <v>1522</v>
      </c>
      <c r="C1164" s="35" t="s">
        <v>401</v>
      </c>
      <c r="D1164" s="36" t="s">
        <v>41</v>
      </c>
      <c r="E1164" s="37" t="s">
        <v>779</v>
      </c>
      <c r="F1164" s="35" t="s">
        <v>545</v>
      </c>
      <c r="G1164" s="7"/>
      <c r="H1164" s="7"/>
      <c r="I1164" s="12"/>
    </row>
    <row r="1165" spans="1:9" ht="25.5" x14ac:dyDescent="0.2">
      <c r="A1165" s="35" t="str">
        <f>HYPERLINK("https://mississippidhs.jamacloud.com/perspective.req?projectId=53&amp;docId=29094","LSRP-SHRQ-1156")</f>
        <v>LSRP-SHRQ-1156</v>
      </c>
      <c r="B1165" s="8" t="s">
        <v>1523</v>
      </c>
      <c r="C1165" s="35" t="s">
        <v>401</v>
      </c>
      <c r="D1165" s="36" t="s">
        <v>41</v>
      </c>
      <c r="E1165" s="37" t="s">
        <v>779</v>
      </c>
      <c r="F1165" s="35" t="s">
        <v>1518</v>
      </c>
      <c r="G1165" s="7"/>
      <c r="H1165" s="7"/>
      <c r="I1165" s="12"/>
    </row>
    <row r="1166" spans="1:9" ht="25.5" x14ac:dyDescent="0.2">
      <c r="A1166" s="35" t="str">
        <f>HYPERLINK("https://mississippidhs.jamacloud.com/perspective.req?projectId=53&amp;docId=29095","LSRP-SHRQ-1157")</f>
        <v>LSRP-SHRQ-1157</v>
      </c>
      <c r="B1166" s="8" t="s">
        <v>1524</v>
      </c>
      <c r="C1166" s="35" t="s">
        <v>401</v>
      </c>
      <c r="D1166" s="36" t="s">
        <v>41</v>
      </c>
      <c r="E1166" s="37" t="s">
        <v>779</v>
      </c>
      <c r="F1166" s="35" t="s">
        <v>545</v>
      </c>
      <c r="G1166" s="7"/>
      <c r="H1166" s="7"/>
      <c r="I1166" s="12"/>
    </row>
    <row r="1167" spans="1:9" ht="25.5" x14ac:dyDescent="0.2">
      <c r="A1167" s="35" t="str">
        <f>HYPERLINK("https://mississippidhs.jamacloud.com/perspective.req?projectId=53&amp;docId=29096","LSRP-SHRQ-1158")</f>
        <v>LSRP-SHRQ-1158</v>
      </c>
      <c r="B1167" s="8" t="s">
        <v>1525</v>
      </c>
      <c r="C1167" s="35" t="s">
        <v>401</v>
      </c>
      <c r="D1167" s="36" t="s">
        <v>41</v>
      </c>
      <c r="E1167" s="37" t="s">
        <v>779</v>
      </c>
      <c r="F1167" s="35" t="s">
        <v>545</v>
      </c>
      <c r="G1167" s="7"/>
      <c r="H1167" s="7"/>
      <c r="I1167" s="12"/>
    </row>
    <row r="1168" spans="1:9" ht="25.5" x14ac:dyDescent="0.2">
      <c r="A1168" s="35" t="str">
        <f>HYPERLINK("https://mississippidhs.jamacloud.com/perspective.req?projectId=53&amp;docId=29097","LSRP-SHRQ-1159")</f>
        <v>LSRP-SHRQ-1159</v>
      </c>
      <c r="B1168" s="8" t="s">
        <v>1526</v>
      </c>
      <c r="C1168" s="35" t="s">
        <v>401</v>
      </c>
      <c r="D1168" s="36" t="s">
        <v>41</v>
      </c>
      <c r="E1168" s="37" t="s">
        <v>779</v>
      </c>
      <c r="F1168" s="35" t="s">
        <v>545</v>
      </c>
      <c r="G1168" s="7"/>
      <c r="H1168" s="7"/>
      <c r="I1168" s="12"/>
    </row>
    <row r="1169" spans="1:9" ht="38.25" x14ac:dyDescent="0.2">
      <c r="A1169" s="35" t="str">
        <f>HYPERLINK("https://mississippidhs.jamacloud.com/perspective.req?projectId=53&amp;docId=29098","LSRP-SHRQ-1160")</f>
        <v>LSRP-SHRQ-1160</v>
      </c>
      <c r="B1169" s="8" t="s">
        <v>1527</v>
      </c>
      <c r="C1169" s="35" t="s">
        <v>401</v>
      </c>
      <c r="D1169" s="36" t="s">
        <v>41</v>
      </c>
      <c r="E1169" s="37" t="s">
        <v>779</v>
      </c>
      <c r="F1169" s="35" t="s">
        <v>545</v>
      </c>
      <c r="G1169" s="7"/>
      <c r="H1169" s="7"/>
      <c r="I1169" s="12"/>
    </row>
    <row r="1170" spans="1:9" ht="25.5" x14ac:dyDescent="0.2">
      <c r="A1170" s="35" t="str">
        <f>HYPERLINK("https://mississippidhs.jamacloud.com/perspective.req?projectId=53&amp;docId=29099","LSRP-SHRQ-1161")</f>
        <v>LSRP-SHRQ-1161</v>
      </c>
      <c r="B1170" s="8" t="s">
        <v>1528</v>
      </c>
      <c r="C1170" s="35" t="s">
        <v>401</v>
      </c>
      <c r="D1170" s="36" t="s">
        <v>41</v>
      </c>
      <c r="E1170" s="37" t="s">
        <v>779</v>
      </c>
      <c r="F1170" s="35" t="s">
        <v>1518</v>
      </c>
      <c r="G1170" s="7"/>
      <c r="H1170" s="7"/>
      <c r="I1170" s="12"/>
    </row>
    <row r="1171" spans="1:9" ht="63.75" x14ac:dyDescent="0.2">
      <c r="A1171" s="35" t="str">
        <f>HYPERLINK("https://mississippidhs.jamacloud.com/perspective.req?projectId=53&amp;docId=29100","LSRP-SHRQ-1162")</f>
        <v>LSRP-SHRQ-1162</v>
      </c>
      <c r="B1171" s="8" t="s">
        <v>1529</v>
      </c>
      <c r="C1171" s="35" t="s">
        <v>401</v>
      </c>
      <c r="D1171" s="36" t="s">
        <v>41</v>
      </c>
      <c r="E1171" s="37" t="s">
        <v>779</v>
      </c>
      <c r="F1171" s="35" t="s">
        <v>545</v>
      </c>
      <c r="G1171" s="7"/>
      <c r="H1171" s="7"/>
      <c r="I1171" s="12"/>
    </row>
    <row r="1172" spans="1:9" ht="14.25" x14ac:dyDescent="0.2">
      <c r="A1172" s="35" t="str">
        <f>HYPERLINK("https://mississippidhs.jamacloud.com/perspective.req?projectId=53&amp;docId=29101","LSRP-SHRQ-1163")</f>
        <v>LSRP-SHRQ-1163</v>
      </c>
      <c r="B1172" s="8" t="s">
        <v>1530</v>
      </c>
      <c r="C1172" s="35" t="s">
        <v>401</v>
      </c>
      <c r="D1172" s="36" t="s">
        <v>41</v>
      </c>
      <c r="E1172" s="37" t="s">
        <v>779</v>
      </c>
      <c r="F1172" s="35" t="s">
        <v>545</v>
      </c>
      <c r="G1172" s="7"/>
      <c r="H1172" s="7"/>
      <c r="I1172" s="12"/>
    </row>
    <row r="1173" spans="1:9" ht="25.5" x14ac:dyDescent="0.2">
      <c r="A1173" s="35" t="str">
        <f>HYPERLINK("https://mississippidhs.jamacloud.com/perspective.req?projectId=53&amp;docId=29102","LSRP-SHRQ-1164")</f>
        <v>LSRP-SHRQ-1164</v>
      </c>
      <c r="B1173" s="8" t="s">
        <v>1531</v>
      </c>
      <c r="C1173" s="35" t="s">
        <v>401</v>
      </c>
      <c r="D1173" s="36" t="s">
        <v>41</v>
      </c>
      <c r="E1173" s="37" t="s">
        <v>779</v>
      </c>
      <c r="F1173" s="35" t="s">
        <v>545</v>
      </c>
      <c r="G1173" s="7"/>
      <c r="H1173" s="7"/>
      <c r="I1173" s="12"/>
    </row>
    <row r="1174" spans="1:9" ht="14.25" x14ac:dyDescent="0.2">
      <c r="A1174" s="35" t="str">
        <f>HYPERLINK("https://mississippidhs.jamacloud.com/perspective.req?projectId=53&amp;docId=29103","LSRP-SHRQ-1165")</f>
        <v>LSRP-SHRQ-1165</v>
      </c>
      <c r="B1174" s="8" t="s">
        <v>1532</v>
      </c>
      <c r="C1174" s="35" t="s">
        <v>401</v>
      </c>
      <c r="D1174" s="36" t="s">
        <v>41</v>
      </c>
      <c r="E1174" s="37" t="s">
        <v>779</v>
      </c>
      <c r="F1174" s="35" t="s">
        <v>545</v>
      </c>
      <c r="G1174" s="7"/>
      <c r="H1174" s="7"/>
      <c r="I1174" s="12"/>
    </row>
    <row r="1175" spans="1:9" ht="14.25" x14ac:dyDescent="0.2">
      <c r="A1175" s="35" t="str">
        <f>HYPERLINK("https://mississippidhs.jamacloud.com/perspective.req?projectId=53&amp;docId=29104","LSRP-SHRQ-1166")</f>
        <v>LSRP-SHRQ-1166</v>
      </c>
      <c r="B1175" s="8" t="s">
        <v>1533</v>
      </c>
      <c r="C1175" s="35" t="s">
        <v>401</v>
      </c>
      <c r="D1175" s="36" t="s">
        <v>41</v>
      </c>
      <c r="E1175" s="37" t="s">
        <v>779</v>
      </c>
      <c r="F1175" s="35" t="s">
        <v>545</v>
      </c>
      <c r="G1175" s="7"/>
      <c r="H1175" s="7"/>
      <c r="I1175" s="12"/>
    </row>
    <row r="1176" spans="1:9" ht="25.5" x14ac:dyDescent="0.2">
      <c r="A1176" s="35" t="str">
        <f>HYPERLINK("https://mississippidhs.jamacloud.com/perspective.req?projectId=53&amp;docId=29105","LSRP-SHRQ-1167")</f>
        <v>LSRP-SHRQ-1167</v>
      </c>
      <c r="B1176" s="8" t="s">
        <v>1534</v>
      </c>
      <c r="C1176" s="35" t="s">
        <v>401</v>
      </c>
      <c r="D1176" s="36" t="s">
        <v>41</v>
      </c>
      <c r="E1176" s="37" t="s">
        <v>779</v>
      </c>
      <c r="F1176" s="35" t="s">
        <v>545</v>
      </c>
      <c r="G1176" s="7"/>
      <c r="H1176" s="7"/>
      <c r="I1176" s="12"/>
    </row>
    <row r="1177" spans="1:9" ht="51" x14ac:dyDescent="0.2">
      <c r="A1177" s="35" t="str">
        <f>HYPERLINK("https://mississippidhs.jamacloud.com/perspective.req?projectId=53&amp;docId=29106","LSRP-SHRQ-1168")</f>
        <v>LSRP-SHRQ-1168</v>
      </c>
      <c r="B1177" s="8" t="s">
        <v>1535</v>
      </c>
      <c r="C1177" s="35" t="s">
        <v>401</v>
      </c>
      <c r="D1177" s="36" t="s">
        <v>41</v>
      </c>
      <c r="E1177" s="37" t="s">
        <v>779</v>
      </c>
      <c r="F1177" s="35" t="s">
        <v>545</v>
      </c>
      <c r="G1177" s="7"/>
      <c r="H1177" s="7"/>
      <c r="I1177" s="12"/>
    </row>
    <row r="1178" spans="1:9" ht="25.5" x14ac:dyDescent="0.2">
      <c r="A1178" s="35" t="str">
        <f>HYPERLINK("https://mississippidhs.jamacloud.com/perspective.req?projectId=53&amp;docId=29107","LSRP-SHRQ-1169")</f>
        <v>LSRP-SHRQ-1169</v>
      </c>
      <c r="B1178" s="8" t="s">
        <v>1536</v>
      </c>
      <c r="C1178" s="35" t="s">
        <v>401</v>
      </c>
      <c r="D1178" s="36" t="s">
        <v>41</v>
      </c>
      <c r="E1178" s="37" t="s">
        <v>779</v>
      </c>
      <c r="F1178" s="35" t="s">
        <v>545</v>
      </c>
      <c r="G1178" s="7"/>
      <c r="H1178" s="7"/>
      <c r="I1178" s="12"/>
    </row>
    <row r="1179" spans="1:9" ht="51" x14ac:dyDescent="0.2">
      <c r="A1179" s="35" t="str">
        <f>HYPERLINK("https://mississippidhs.jamacloud.com/perspective.req?projectId=53&amp;docId=29108","LSRP-SHRQ-1170")</f>
        <v>LSRP-SHRQ-1170</v>
      </c>
      <c r="B1179" s="8" t="s">
        <v>1537</v>
      </c>
      <c r="C1179" s="35" t="s">
        <v>401</v>
      </c>
      <c r="D1179" s="36" t="s">
        <v>41</v>
      </c>
      <c r="E1179" s="37" t="s">
        <v>779</v>
      </c>
      <c r="F1179" s="35" t="s">
        <v>545</v>
      </c>
      <c r="G1179" s="7"/>
      <c r="H1179" s="7"/>
      <c r="I1179" s="12"/>
    </row>
    <row r="1180" spans="1:9" ht="51" x14ac:dyDescent="0.2">
      <c r="A1180" s="35" t="str">
        <f>HYPERLINK("https://mississippidhs.jamacloud.com/perspective.req?projectId=53&amp;docId=29109","LSRP-SHRQ-1171")</f>
        <v>LSRP-SHRQ-1171</v>
      </c>
      <c r="B1180" s="8" t="s">
        <v>1538</v>
      </c>
      <c r="C1180" s="35" t="s">
        <v>401</v>
      </c>
      <c r="D1180" s="36" t="s">
        <v>41</v>
      </c>
      <c r="E1180" s="37" t="s">
        <v>779</v>
      </c>
      <c r="F1180" s="35" t="s">
        <v>1518</v>
      </c>
      <c r="G1180" s="7"/>
      <c r="H1180" s="7"/>
      <c r="I1180" s="12"/>
    </row>
    <row r="1181" spans="1:9" ht="14.25" x14ac:dyDescent="0.2">
      <c r="A1181" s="35" t="str">
        <f>HYPERLINK("https://mississippidhs.jamacloud.com/perspective.req?projectId=53&amp;docId=29110","LSRP-SHRQ-1172")</f>
        <v>LSRP-SHRQ-1172</v>
      </c>
      <c r="B1181" s="8" t="s">
        <v>1539</v>
      </c>
      <c r="C1181" s="35" t="s">
        <v>401</v>
      </c>
      <c r="D1181" s="36" t="s">
        <v>41</v>
      </c>
      <c r="E1181" s="37" t="s">
        <v>779</v>
      </c>
      <c r="F1181" s="35" t="s">
        <v>545</v>
      </c>
      <c r="G1181" s="7"/>
      <c r="H1181" s="7"/>
      <c r="I1181" s="12"/>
    </row>
    <row r="1182" spans="1:9" ht="25.5" x14ac:dyDescent="0.2">
      <c r="A1182" s="35" t="str">
        <f>HYPERLINK("https://mississippidhs.jamacloud.com/perspective.req?projectId=53&amp;docId=29111","LSRP-SHRQ-1173")</f>
        <v>LSRP-SHRQ-1173</v>
      </c>
      <c r="B1182" s="8" t="s">
        <v>1540</v>
      </c>
      <c r="C1182" s="35" t="s">
        <v>401</v>
      </c>
      <c r="D1182" s="36" t="s">
        <v>41</v>
      </c>
      <c r="E1182" s="37" t="s">
        <v>779</v>
      </c>
      <c r="F1182" s="35" t="s">
        <v>545</v>
      </c>
      <c r="G1182" s="7"/>
      <c r="H1182" s="7"/>
      <c r="I1182" s="12"/>
    </row>
    <row r="1183" spans="1:9" ht="14.25" x14ac:dyDescent="0.2">
      <c r="A1183" s="35" t="str">
        <f>HYPERLINK("https://mississippidhs.jamacloud.com/perspective.req?projectId=53&amp;docId=29112","LSRP-SHRQ-1174")</f>
        <v>LSRP-SHRQ-1174</v>
      </c>
      <c r="B1183" s="8" t="s">
        <v>1541</v>
      </c>
      <c r="C1183" s="35" t="s">
        <v>401</v>
      </c>
      <c r="D1183" s="36" t="s">
        <v>41</v>
      </c>
      <c r="E1183" s="37" t="s">
        <v>779</v>
      </c>
      <c r="F1183" s="35" t="s">
        <v>545</v>
      </c>
      <c r="G1183" s="7"/>
      <c r="H1183" s="7"/>
      <c r="I1183" s="12"/>
    </row>
    <row r="1184" spans="1:9" ht="25.5" x14ac:dyDescent="0.2">
      <c r="A1184" s="35" t="str">
        <f>HYPERLINK("https://mississippidhs.jamacloud.com/perspective.req?projectId=53&amp;docId=29113","LSRP-SHRQ-1175")</f>
        <v>LSRP-SHRQ-1175</v>
      </c>
      <c r="B1184" s="8" t="s">
        <v>1542</v>
      </c>
      <c r="C1184" s="35" t="s">
        <v>401</v>
      </c>
      <c r="D1184" s="36" t="s">
        <v>41</v>
      </c>
      <c r="E1184" s="37" t="s">
        <v>779</v>
      </c>
      <c r="F1184" s="35" t="s">
        <v>545</v>
      </c>
      <c r="G1184" s="7"/>
      <c r="H1184" s="7"/>
      <c r="I1184" s="12"/>
    </row>
    <row r="1185" spans="1:9" ht="25.5" x14ac:dyDescent="0.2">
      <c r="A1185" s="35" t="str">
        <f>HYPERLINK("https://mississippidhs.jamacloud.com/perspective.req?projectId=53&amp;docId=29114","LSRP-SHRQ-1176")</f>
        <v>LSRP-SHRQ-1176</v>
      </c>
      <c r="B1185" s="8" t="s">
        <v>1543</v>
      </c>
      <c r="C1185" s="35" t="s">
        <v>401</v>
      </c>
      <c r="D1185" s="36" t="s">
        <v>41</v>
      </c>
      <c r="E1185" s="37" t="s">
        <v>779</v>
      </c>
      <c r="F1185" s="35" t="s">
        <v>545</v>
      </c>
      <c r="G1185" s="7"/>
      <c r="H1185" s="7"/>
      <c r="I1185" s="12"/>
    </row>
    <row r="1186" spans="1:9" ht="25.5" x14ac:dyDescent="0.2">
      <c r="A1186" s="35" t="str">
        <f>HYPERLINK("https://mississippidhs.jamacloud.com/perspective.req?projectId=53&amp;docId=29115","LSRP-SHRQ-1177")</f>
        <v>LSRP-SHRQ-1177</v>
      </c>
      <c r="B1186" s="8" t="s">
        <v>1544</v>
      </c>
      <c r="C1186" s="35" t="s">
        <v>401</v>
      </c>
      <c r="D1186" s="36" t="s">
        <v>41</v>
      </c>
      <c r="E1186" s="37" t="s">
        <v>779</v>
      </c>
      <c r="F1186" s="35" t="s">
        <v>545</v>
      </c>
      <c r="G1186" s="7"/>
      <c r="H1186" s="7"/>
      <c r="I1186" s="12"/>
    </row>
    <row r="1187" spans="1:9" ht="38.25" x14ac:dyDescent="0.2">
      <c r="A1187" s="35" t="str">
        <f>HYPERLINK("https://mississippidhs.jamacloud.com/perspective.req?projectId=53&amp;docId=29116","LSRP-SHRQ-1178")</f>
        <v>LSRP-SHRQ-1178</v>
      </c>
      <c r="B1187" s="8" t="s">
        <v>1545</v>
      </c>
      <c r="C1187" s="35" t="s">
        <v>401</v>
      </c>
      <c r="D1187" s="36" t="s">
        <v>41</v>
      </c>
      <c r="E1187" s="37" t="s">
        <v>779</v>
      </c>
      <c r="F1187" s="35" t="s">
        <v>545</v>
      </c>
      <c r="G1187" s="7"/>
      <c r="H1187" s="7"/>
      <c r="I1187" s="12"/>
    </row>
    <row r="1188" spans="1:9" ht="25.5" x14ac:dyDescent="0.2">
      <c r="A1188" s="35" t="str">
        <f>HYPERLINK("https://mississippidhs.jamacloud.com/perspective.req?projectId=53&amp;docId=29117","LSRP-SHRQ-1179")</f>
        <v>LSRP-SHRQ-1179</v>
      </c>
      <c r="B1188" s="8" t="s">
        <v>1546</v>
      </c>
      <c r="C1188" s="35" t="s">
        <v>401</v>
      </c>
      <c r="D1188" s="36" t="s">
        <v>41</v>
      </c>
      <c r="E1188" s="37" t="s">
        <v>779</v>
      </c>
      <c r="F1188" s="35" t="s">
        <v>545</v>
      </c>
      <c r="G1188" s="7"/>
      <c r="H1188" s="7"/>
      <c r="I1188" s="12"/>
    </row>
    <row r="1189" spans="1:9" ht="25.5" x14ac:dyDescent="0.2">
      <c r="A1189" s="35" t="str">
        <f>HYPERLINK("https://mississippidhs.jamacloud.com/perspective.req?projectId=53&amp;docId=29118","LSRP-SHRQ-1180")</f>
        <v>LSRP-SHRQ-1180</v>
      </c>
      <c r="B1189" s="8" t="s">
        <v>1547</v>
      </c>
      <c r="C1189" s="35" t="s">
        <v>401</v>
      </c>
      <c r="D1189" s="36" t="s">
        <v>41</v>
      </c>
      <c r="E1189" s="37" t="s">
        <v>779</v>
      </c>
      <c r="F1189" s="35" t="s">
        <v>545</v>
      </c>
      <c r="G1189" s="7"/>
      <c r="H1189" s="7"/>
      <c r="I1189" s="12"/>
    </row>
    <row r="1190" spans="1:9" ht="25.5" x14ac:dyDescent="0.2">
      <c r="A1190" s="35" t="str">
        <f>HYPERLINK("https://mississippidhs.jamacloud.com/perspective.req?projectId=53&amp;docId=29119","LSRP-SHRQ-1181")</f>
        <v>LSRP-SHRQ-1181</v>
      </c>
      <c r="B1190" s="8" t="s">
        <v>1548</v>
      </c>
      <c r="C1190" s="35" t="s">
        <v>401</v>
      </c>
      <c r="D1190" s="36" t="s">
        <v>41</v>
      </c>
      <c r="E1190" s="37" t="s">
        <v>779</v>
      </c>
      <c r="F1190" s="35" t="s">
        <v>545</v>
      </c>
      <c r="G1190" s="7"/>
      <c r="H1190" s="7"/>
      <c r="I1190" s="12"/>
    </row>
    <row r="1191" spans="1:9" ht="38.25" x14ac:dyDescent="0.2">
      <c r="A1191" s="35" t="str">
        <f>HYPERLINK("https://mississippidhs.jamacloud.com/perspective.req?projectId=53&amp;docId=29120","LSRP-SHRQ-1182")</f>
        <v>LSRP-SHRQ-1182</v>
      </c>
      <c r="B1191" s="8" t="s">
        <v>1549</v>
      </c>
      <c r="C1191" s="35" t="s">
        <v>401</v>
      </c>
      <c r="D1191" s="36" t="s">
        <v>41</v>
      </c>
      <c r="E1191" s="37" t="s">
        <v>779</v>
      </c>
      <c r="F1191" s="35" t="s">
        <v>545</v>
      </c>
      <c r="G1191" s="7"/>
      <c r="H1191" s="7"/>
      <c r="I1191" s="12"/>
    </row>
    <row r="1192" spans="1:9" ht="38.25" x14ac:dyDescent="0.2">
      <c r="A1192" s="35" t="str">
        <f>HYPERLINK("https://mississippidhs.jamacloud.com/perspective.req?projectId=53&amp;docId=29121","LSRP-SHRQ-1183")</f>
        <v>LSRP-SHRQ-1183</v>
      </c>
      <c r="B1192" s="8" t="s">
        <v>1550</v>
      </c>
      <c r="C1192" s="35" t="s">
        <v>401</v>
      </c>
      <c r="D1192" s="36" t="s">
        <v>41</v>
      </c>
      <c r="E1192" s="37" t="s">
        <v>779</v>
      </c>
      <c r="F1192" s="35" t="s">
        <v>545</v>
      </c>
      <c r="G1192" s="7"/>
      <c r="H1192" s="7"/>
      <c r="I1192" s="12"/>
    </row>
    <row r="1193" spans="1:9" ht="25.5" x14ac:dyDescent="0.2">
      <c r="A1193" s="35" t="str">
        <f>HYPERLINK("https://mississippidhs.jamacloud.com/perspective.req?projectId=53&amp;docId=29122","LSRP-SHRQ-1184")</f>
        <v>LSRP-SHRQ-1184</v>
      </c>
      <c r="B1193" s="8" t="s">
        <v>1551</v>
      </c>
      <c r="C1193" s="35" t="s">
        <v>401</v>
      </c>
      <c r="D1193" s="36" t="s">
        <v>41</v>
      </c>
      <c r="E1193" s="37" t="s">
        <v>779</v>
      </c>
      <c r="F1193" s="35" t="s">
        <v>545</v>
      </c>
      <c r="G1193" s="7"/>
      <c r="H1193" s="7"/>
      <c r="I1193" s="12"/>
    </row>
    <row r="1194" spans="1:9" ht="14.25" x14ac:dyDescent="0.2">
      <c r="A1194" s="35" t="str">
        <f>HYPERLINK("https://mississippidhs.jamacloud.com/perspective.req?projectId=53&amp;docId=29123","LSRP-SHRQ-1185")</f>
        <v>LSRP-SHRQ-1185</v>
      </c>
      <c r="B1194" s="8" t="s">
        <v>1552</v>
      </c>
      <c r="C1194" s="35" t="s">
        <v>401</v>
      </c>
      <c r="D1194" s="36" t="s">
        <v>41</v>
      </c>
      <c r="E1194" s="37" t="s">
        <v>779</v>
      </c>
      <c r="F1194" s="35" t="s">
        <v>545</v>
      </c>
      <c r="G1194" s="7"/>
      <c r="H1194" s="7"/>
      <c r="I1194" s="12"/>
    </row>
    <row r="1195" spans="1:9" ht="25.5" x14ac:dyDescent="0.2">
      <c r="A1195" s="35" t="str">
        <f>HYPERLINK("https://mississippidhs.jamacloud.com/perspective.req?projectId=53&amp;docId=29124","LSRP-SHRQ-1186")</f>
        <v>LSRP-SHRQ-1186</v>
      </c>
      <c r="B1195" s="8" t="s">
        <v>1553</v>
      </c>
      <c r="C1195" s="35" t="s">
        <v>401</v>
      </c>
      <c r="D1195" s="36" t="s">
        <v>41</v>
      </c>
      <c r="E1195" s="37" t="s">
        <v>779</v>
      </c>
      <c r="F1195" s="35" t="s">
        <v>545</v>
      </c>
      <c r="G1195" s="7"/>
      <c r="H1195" s="7"/>
      <c r="I1195" s="12"/>
    </row>
    <row r="1196" spans="1:9" ht="51" x14ac:dyDescent="0.2">
      <c r="A1196" s="35" t="str">
        <f>HYPERLINK("https://mississippidhs.jamacloud.com/perspective.req?projectId=53&amp;docId=29126","LSRP-SHRQ-1187")</f>
        <v>LSRP-SHRQ-1187</v>
      </c>
      <c r="B1196" s="8" t="s">
        <v>1554</v>
      </c>
      <c r="C1196" s="35" t="s">
        <v>319</v>
      </c>
      <c r="D1196" s="36" t="s">
        <v>1555</v>
      </c>
      <c r="E1196" s="37" t="s">
        <v>779</v>
      </c>
      <c r="F1196" s="35" t="s">
        <v>322</v>
      </c>
      <c r="G1196" s="7"/>
      <c r="H1196" s="7"/>
      <c r="I1196" s="12"/>
    </row>
    <row r="1197" spans="1:9" ht="25.5" x14ac:dyDescent="0.2">
      <c r="A1197" s="35" t="str">
        <f>HYPERLINK("https://mississippidhs.jamacloud.com/perspective.req?projectId=53&amp;docId=29127","LSRP-SHRQ-1188")</f>
        <v>LSRP-SHRQ-1188</v>
      </c>
      <c r="B1197" s="8" t="s">
        <v>1556</v>
      </c>
      <c r="C1197" s="35" t="s">
        <v>319</v>
      </c>
      <c r="D1197" s="36" t="s">
        <v>1555</v>
      </c>
      <c r="E1197" s="37" t="s">
        <v>779</v>
      </c>
      <c r="F1197" s="35" t="s">
        <v>322</v>
      </c>
      <c r="G1197" s="7"/>
      <c r="H1197" s="7"/>
      <c r="I1197" s="12"/>
    </row>
    <row r="1198" spans="1:9" ht="38.25" x14ac:dyDescent="0.2">
      <c r="A1198" s="35" t="str">
        <f>HYPERLINK("https://mississippidhs.jamacloud.com/perspective.req?projectId=53&amp;docId=29128","LSRP-SHRQ-1189")</f>
        <v>LSRP-SHRQ-1189</v>
      </c>
      <c r="B1198" s="8" t="s">
        <v>1557</v>
      </c>
      <c r="C1198" s="35" t="s">
        <v>319</v>
      </c>
      <c r="D1198" s="36" t="s">
        <v>1555</v>
      </c>
      <c r="E1198" s="37" t="s">
        <v>779</v>
      </c>
      <c r="F1198" s="35" t="s">
        <v>322</v>
      </c>
      <c r="G1198" s="7"/>
      <c r="H1198" s="7"/>
      <c r="I1198" s="12"/>
    </row>
    <row r="1199" spans="1:9" ht="38.25" x14ac:dyDescent="0.2">
      <c r="A1199" s="35" t="str">
        <f>HYPERLINK("https://mississippidhs.jamacloud.com/perspective.req?projectId=53&amp;docId=29129","LSRP-SHRQ-1190")</f>
        <v>LSRP-SHRQ-1190</v>
      </c>
      <c r="B1199" s="8" t="s">
        <v>1558</v>
      </c>
      <c r="C1199" s="35" t="s">
        <v>319</v>
      </c>
      <c r="D1199" s="36" t="s">
        <v>1555</v>
      </c>
      <c r="E1199" s="37" t="s">
        <v>779</v>
      </c>
      <c r="F1199" s="35" t="s">
        <v>322</v>
      </c>
      <c r="G1199" s="7"/>
      <c r="H1199" s="7"/>
      <c r="I1199" s="12"/>
    </row>
    <row r="1200" spans="1:9" ht="38.25" x14ac:dyDescent="0.2">
      <c r="A1200" s="35" t="str">
        <f>HYPERLINK("https://mississippidhs.jamacloud.com/perspective.req?projectId=53&amp;docId=29130","LSRP-SHRQ-1191")</f>
        <v>LSRP-SHRQ-1191</v>
      </c>
      <c r="B1200" s="8" t="s">
        <v>1559</v>
      </c>
      <c r="C1200" s="35" t="s">
        <v>319</v>
      </c>
      <c r="D1200" s="36" t="s">
        <v>1555</v>
      </c>
      <c r="E1200" s="37" t="s">
        <v>779</v>
      </c>
      <c r="F1200" s="35" t="s">
        <v>322</v>
      </c>
      <c r="G1200" s="7"/>
      <c r="H1200" s="7"/>
      <c r="I1200" s="12"/>
    </row>
    <row r="1201" spans="1:9" ht="51" x14ac:dyDescent="0.2">
      <c r="A1201" s="35" t="str">
        <f>HYPERLINK("https://mississippidhs.jamacloud.com/perspective.req?projectId=53&amp;docId=29131","LSRP-SHRQ-1192")</f>
        <v>LSRP-SHRQ-1192</v>
      </c>
      <c r="B1201" s="8" t="s">
        <v>1560</v>
      </c>
      <c r="C1201" s="35" t="s">
        <v>319</v>
      </c>
      <c r="D1201" s="36" t="s">
        <v>1555</v>
      </c>
      <c r="E1201" s="37" t="s">
        <v>779</v>
      </c>
      <c r="F1201" s="35" t="s">
        <v>322</v>
      </c>
      <c r="G1201" s="7"/>
      <c r="H1201" s="7"/>
      <c r="I1201" s="12"/>
    </row>
    <row r="1202" spans="1:9" ht="76.5" x14ac:dyDescent="0.2">
      <c r="A1202" s="35" t="str">
        <f>HYPERLINK("https://mississippidhs.jamacloud.com/perspective.req?projectId=53&amp;docId=29132","LSRP-SHRQ-1193")</f>
        <v>LSRP-SHRQ-1193</v>
      </c>
      <c r="B1202" s="8" t="s">
        <v>1561</v>
      </c>
      <c r="C1202" s="35" t="s">
        <v>319</v>
      </c>
      <c r="D1202" s="36" t="s">
        <v>1555</v>
      </c>
      <c r="E1202" s="37" t="s">
        <v>779</v>
      </c>
      <c r="F1202" s="35" t="s">
        <v>322</v>
      </c>
      <c r="G1202" s="7"/>
      <c r="H1202" s="7"/>
      <c r="I1202" s="12"/>
    </row>
    <row r="1203" spans="1:9" ht="51" x14ac:dyDescent="0.2">
      <c r="A1203" s="35" t="str">
        <f>HYPERLINK("https://mississippidhs.jamacloud.com/perspective.req?projectId=53&amp;docId=29133","LSRP-SHRQ-1194")</f>
        <v>LSRP-SHRQ-1194</v>
      </c>
      <c r="B1203" s="8" t="s">
        <v>1562</v>
      </c>
      <c r="C1203" s="35" t="s">
        <v>319</v>
      </c>
      <c r="D1203" s="36" t="s">
        <v>1555</v>
      </c>
      <c r="E1203" s="37" t="s">
        <v>779</v>
      </c>
      <c r="F1203" s="35" t="s">
        <v>322</v>
      </c>
      <c r="G1203" s="7"/>
      <c r="H1203" s="7"/>
      <c r="I1203" s="12"/>
    </row>
    <row r="1204" spans="1:9" ht="25.5" x14ac:dyDescent="0.2">
      <c r="A1204" s="35" t="str">
        <f>HYPERLINK("https://mississippidhs.jamacloud.com/perspective.req?projectId=53&amp;docId=29134","LSRP-SHRQ-1195")</f>
        <v>LSRP-SHRQ-1195</v>
      </c>
      <c r="B1204" s="8" t="s">
        <v>1563</v>
      </c>
      <c r="C1204" s="35" t="s">
        <v>319</v>
      </c>
      <c r="D1204" s="36" t="s">
        <v>1555</v>
      </c>
      <c r="E1204" s="37" t="s">
        <v>779</v>
      </c>
      <c r="F1204" s="35" t="s">
        <v>322</v>
      </c>
      <c r="G1204" s="7"/>
      <c r="H1204" s="7"/>
      <c r="I1204" s="12"/>
    </row>
    <row r="1205" spans="1:9" ht="38.25" x14ac:dyDescent="0.2">
      <c r="A1205" s="35" t="str">
        <f>HYPERLINK("https://mississippidhs.jamacloud.com/perspective.req?projectId=53&amp;docId=29135","LSRP-SHRQ-1196")</f>
        <v>LSRP-SHRQ-1196</v>
      </c>
      <c r="B1205" s="8" t="s">
        <v>1564</v>
      </c>
      <c r="C1205" s="35" t="s">
        <v>319</v>
      </c>
      <c r="D1205" s="36" t="s">
        <v>1555</v>
      </c>
      <c r="E1205" s="37" t="s">
        <v>779</v>
      </c>
      <c r="F1205" s="35" t="s">
        <v>322</v>
      </c>
      <c r="G1205" s="7"/>
      <c r="H1205" s="7"/>
      <c r="I1205" s="12"/>
    </row>
    <row r="1206" spans="1:9" ht="76.5" x14ac:dyDescent="0.2">
      <c r="A1206" s="35" t="str">
        <f>HYPERLINK("https://mississippidhs.jamacloud.com/perspective.req?projectId=53&amp;docId=29136","LSRP-SHRQ-1197")</f>
        <v>LSRP-SHRQ-1197</v>
      </c>
      <c r="B1206" s="8" t="s">
        <v>1565</v>
      </c>
      <c r="C1206" s="35" t="s">
        <v>319</v>
      </c>
      <c r="D1206" s="36" t="s">
        <v>1555</v>
      </c>
      <c r="E1206" s="37" t="s">
        <v>779</v>
      </c>
      <c r="F1206" s="35" t="s">
        <v>322</v>
      </c>
      <c r="G1206" s="7"/>
      <c r="H1206" s="7"/>
      <c r="I1206" s="12"/>
    </row>
    <row r="1207" spans="1:9" ht="25.5" x14ac:dyDescent="0.2">
      <c r="A1207" s="35" t="str">
        <f>HYPERLINK("https://mississippidhs.jamacloud.com/perspective.req?projectId=53&amp;docId=29137","LSRP-SHRQ-1198")</f>
        <v>LSRP-SHRQ-1198</v>
      </c>
      <c r="B1207" s="8" t="s">
        <v>1566</v>
      </c>
      <c r="C1207" s="35" t="s">
        <v>319</v>
      </c>
      <c r="D1207" s="36" t="s">
        <v>1555</v>
      </c>
      <c r="E1207" s="37" t="s">
        <v>779</v>
      </c>
      <c r="F1207" s="35" t="s">
        <v>322</v>
      </c>
      <c r="G1207" s="7"/>
      <c r="H1207" s="7"/>
      <c r="I1207" s="12"/>
    </row>
    <row r="1208" spans="1:9" ht="25.5" x14ac:dyDescent="0.2">
      <c r="A1208" s="35" t="str">
        <f>HYPERLINK("https://mississippidhs.jamacloud.com/perspective.req?projectId=53&amp;docId=29138","LSRP-SHRQ-1199")</f>
        <v>LSRP-SHRQ-1199</v>
      </c>
      <c r="B1208" s="8" t="s">
        <v>1567</v>
      </c>
      <c r="C1208" s="35" t="s">
        <v>319</v>
      </c>
      <c r="D1208" s="36" t="s">
        <v>1555</v>
      </c>
      <c r="E1208" s="37" t="s">
        <v>779</v>
      </c>
      <c r="F1208" s="35" t="s">
        <v>322</v>
      </c>
      <c r="G1208" s="7"/>
      <c r="H1208" s="7"/>
      <c r="I1208" s="12"/>
    </row>
    <row r="1209" spans="1:9" ht="51" x14ac:dyDescent="0.2">
      <c r="A1209" s="35" t="str">
        <f>HYPERLINK("https://mississippidhs.jamacloud.com/perspective.req?projectId=53&amp;docId=29139","LSRP-SHRQ-1200")</f>
        <v>LSRP-SHRQ-1200</v>
      </c>
      <c r="B1209" s="8" t="s">
        <v>1568</v>
      </c>
      <c r="C1209" s="35" t="s">
        <v>319</v>
      </c>
      <c r="D1209" s="36" t="s">
        <v>1555</v>
      </c>
      <c r="E1209" s="37" t="s">
        <v>779</v>
      </c>
      <c r="F1209" s="35" t="s">
        <v>322</v>
      </c>
      <c r="G1209" s="7"/>
      <c r="H1209" s="7"/>
      <c r="I1209" s="12"/>
    </row>
    <row r="1210" spans="1:9" ht="25.5" x14ac:dyDescent="0.2">
      <c r="A1210" s="35" t="str">
        <f>HYPERLINK("https://mississippidhs.jamacloud.com/perspective.req?projectId=53&amp;docId=29140","LSRP-SHRQ-1201")</f>
        <v>LSRP-SHRQ-1201</v>
      </c>
      <c r="B1210" s="8" t="s">
        <v>1569</v>
      </c>
      <c r="C1210" s="35" t="s">
        <v>319</v>
      </c>
      <c r="D1210" s="36" t="s">
        <v>1555</v>
      </c>
      <c r="E1210" s="37" t="s">
        <v>779</v>
      </c>
      <c r="F1210" s="35" t="s">
        <v>322</v>
      </c>
      <c r="G1210" s="7"/>
      <c r="H1210" s="7"/>
      <c r="I1210" s="12"/>
    </row>
    <row r="1211" spans="1:9" ht="14.25" x14ac:dyDescent="0.2">
      <c r="A1211" s="35" t="str">
        <f>HYPERLINK("https://mississippidhs.jamacloud.com/perspective.req?projectId=53&amp;docId=29141","LSRP-SHRQ-1202")</f>
        <v>LSRP-SHRQ-1202</v>
      </c>
      <c r="B1211" s="39" t="s">
        <v>1570</v>
      </c>
      <c r="C1211" s="35" t="s">
        <v>319</v>
      </c>
      <c r="D1211" s="36" t="s">
        <v>1555</v>
      </c>
      <c r="E1211" s="37" t="s">
        <v>779</v>
      </c>
      <c r="F1211" s="35" t="s">
        <v>322</v>
      </c>
      <c r="G1211" s="7"/>
      <c r="H1211" s="7"/>
      <c r="I1211" s="12"/>
    </row>
    <row r="1212" spans="1:9" ht="25.5" x14ac:dyDescent="0.2">
      <c r="A1212" s="35" t="str">
        <f>HYPERLINK("https://mississippidhs.jamacloud.com/perspective.req?projectId=53&amp;docId=29142","LSRP-SHRQ-1203")</f>
        <v>LSRP-SHRQ-1203</v>
      </c>
      <c r="B1212" s="8" t="s">
        <v>1571</v>
      </c>
      <c r="C1212" s="35" t="s">
        <v>319</v>
      </c>
      <c r="D1212" s="36" t="s">
        <v>1555</v>
      </c>
      <c r="E1212" s="37" t="s">
        <v>779</v>
      </c>
      <c r="F1212" s="35" t="s">
        <v>322</v>
      </c>
      <c r="G1212" s="7"/>
      <c r="H1212" s="7"/>
      <c r="I1212" s="12"/>
    </row>
    <row r="1213" spans="1:9" ht="63.75" x14ac:dyDescent="0.2">
      <c r="A1213" s="35" t="str">
        <f>HYPERLINK("https://mississippidhs.jamacloud.com/perspective.req?projectId=53&amp;docId=29143","LSRP-SHRQ-1204")</f>
        <v>LSRP-SHRQ-1204</v>
      </c>
      <c r="B1213" s="8" t="s">
        <v>1572</v>
      </c>
      <c r="C1213" s="35" t="s">
        <v>319</v>
      </c>
      <c r="D1213" s="36" t="s">
        <v>1555</v>
      </c>
      <c r="E1213" s="37" t="s">
        <v>779</v>
      </c>
      <c r="F1213" s="35" t="s">
        <v>322</v>
      </c>
      <c r="G1213" s="7"/>
      <c r="H1213" s="7"/>
      <c r="I1213" s="12"/>
    </row>
    <row r="1214" spans="1:9" ht="25.5" x14ac:dyDescent="0.2">
      <c r="A1214" s="35" t="str">
        <f>HYPERLINK("https://mississippidhs.jamacloud.com/perspective.req?projectId=53&amp;docId=29144","LSRP-SHRQ-1205")</f>
        <v>LSRP-SHRQ-1205</v>
      </c>
      <c r="B1214" s="8" t="s">
        <v>1573</v>
      </c>
      <c r="C1214" s="35" t="s">
        <v>319</v>
      </c>
      <c r="D1214" s="36" t="s">
        <v>1555</v>
      </c>
      <c r="E1214" s="37" t="s">
        <v>779</v>
      </c>
      <c r="F1214" s="35" t="s">
        <v>322</v>
      </c>
      <c r="G1214" s="7"/>
      <c r="H1214" s="7"/>
      <c r="I1214" s="12"/>
    </row>
    <row r="1215" spans="1:9" ht="25.5" x14ac:dyDescent="0.2">
      <c r="A1215" s="35" t="str">
        <f>HYPERLINK("https://mississippidhs.jamacloud.com/perspective.req?projectId=53&amp;docId=29145","LSRP-SHRQ-1206")</f>
        <v>LSRP-SHRQ-1206</v>
      </c>
      <c r="B1215" s="8" t="s">
        <v>1092</v>
      </c>
      <c r="C1215" s="35" t="s">
        <v>319</v>
      </c>
      <c r="D1215" s="36" t="s">
        <v>1555</v>
      </c>
      <c r="E1215" s="37" t="s">
        <v>779</v>
      </c>
      <c r="F1215" s="35" t="s">
        <v>322</v>
      </c>
      <c r="G1215" s="7"/>
      <c r="H1215" s="7"/>
      <c r="I1215" s="12"/>
    </row>
    <row r="1216" spans="1:9" ht="14.25" x14ac:dyDescent="0.2">
      <c r="A1216" s="35" t="str">
        <f>HYPERLINK("https://mississippidhs.jamacloud.com/perspective.req?projectId=53&amp;docId=29146","LSRP-SHRQ-1207")</f>
        <v>LSRP-SHRQ-1207</v>
      </c>
      <c r="B1216" s="8" t="s">
        <v>1574</v>
      </c>
      <c r="C1216" s="35" t="s">
        <v>319</v>
      </c>
      <c r="D1216" s="36" t="s">
        <v>1555</v>
      </c>
      <c r="E1216" s="37" t="s">
        <v>779</v>
      </c>
      <c r="F1216" s="35" t="s">
        <v>322</v>
      </c>
      <c r="G1216" s="7"/>
      <c r="H1216" s="7"/>
      <c r="I1216" s="12"/>
    </row>
    <row r="1217" spans="1:9" ht="14.25" x14ac:dyDescent="0.2">
      <c r="A1217" s="35" t="str">
        <f>HYPERLINK("https://mississippidhs.jamacloud.com/perspective.req?projectId=53&amp;docId=29147","LSRP-SHRQ-1208")</f>
        <v>LSRP-SHRQ-1208</v>
      </c>
      <c r="B1217" s="8" t="s">
        <v>1094</v>
      </c>
      <c r="C1217" s="35" t="s">
        <v>319</v>
      </c>
      <c r="D1217" s="36" t="s">
        <v>1555</v>
      </c>
      <c r="E1217" s="37" t="s">
        <v>779</v>
      </c>
      <c r="F1217" s="35" t="s">
        <v>322</v>
      </c>
      <c r="G1217" s="7"/>
      <c r="H1217" s="7"/>
      <c r="I1217" s="12"/>
    </row>
    <row r="1218" spans="1:9" ht="25.5" x14ac:dyDescent="0.2">
      <c r="A1218" s="35" t="str">
        <f>HYPERLINK("https://mississippidhs.jamacloud.com/perspective.req?projectId=53&amp;docId=29148","LSRP-SHRQ-1209")</f>
        <v>LSRP-SHRQ-1209</v>
      </c>
      <c r="B1218" s="8" t="s">
        <v>1095</v>
      </c>
      <c r="C1218" s="35" t="s">
        <v>319</v>
      </c>
      <c r="D1218" s="36" t="s">
        <v>1555</v>
      </c>
      <c r="E1218" s="37" t="s">
        <v>779</v>
      </c>
      <c r="F1218" s="35" t="s">
        <v>322</v>
      </c>
      <c r="G1218" s="7"/>
      <c r="H1218" s="7"/>
      <c r="I1218" s="12"/>
    </row>
    <row r="1219" spans="1:9" ht="14.25" x14ac:dyDescent="0.2">
      <c r="A1219" s="35" t="str">
        <f>HYPERLINK("https://mississippidhs.jamacloud.com/perspective.req?projectId=53&amp;docId=29149","LSRP-SHRQ-1210")</f>
        <v>LSRP-SHRQ-1210</v>
      </c>
      <c r="B1219" s="8" t="s">
        <v>1575</v>
      </c>
      <c r="C1219" s="35" t="s">
        <v>319</v>
      </c>
      <c r="D1219" s="36" t="s">
        <v>1555</v>
      </c>
      <c r="E1219" s="37" t="s">
        <v>779</v>
      </c>
      <c r="F1219" s="35" t="s">
        <v>322</v>
      </c>
      <c r="G1219" s="7"/>
      <c r="H1219" s="7"/>
      <c r="I1219" s="12"/>
    </row>
    <row r="1220" spans="1:9" ht="38.25" x14ac:dyDescent="0.2">
      <c r="A1220" s="35" t="str">
        <f>HYPERLINK("https://mississippidhs.jamacloud.com/perspective.req?projectId=53&amp;docId=29150","LSRP-SHRQ-1211")</f>
        <v>LSRP-SHRQ-1211</v>
      </c>
      <c r="B1220" s="8" t="s">
        <v>1576</v>
      </c>
      <c r="C1220" s="35" t="s">
        <v>319</v>
      </c>
      <c r="D1220" s="36" t="s">
        <v>1555</v>
      </c>
      <c r="E1220" s="37" t="s">
        <v>779</v>
      </c>
      <c r="F1220" s="35" t="s">
        <v>322</v>
      </c>
      <c r="G1220" s="7"/>
      <c r="H1220" s="7"/>
      <c r="I1220" s="12"/>
    </row>
    <row r="1221" spans="1:9" ht="38.25" x14ac:dyDescent="0.2">
      <c r="A1221" s="35" t="str">
        <f>HYPERLINK("https://mississippidhs.jamacloud.com/perspective.req?projectId=53&amp;docId=29151","LSRP-SHRQ-1212")</f>
        <v>LSRP-SHRQ-1212</v>
      </c>
      <c r="B1221" s="31" t="s">
        <v>1577</v>
      </c>
      <c r="C1221" s="35" t="s">
        <v>319</v>
      </c>
      <c r="D1221" s="36" t="s">
        <v>1555</v>
      </c>
      <c r="E1221" s="37" t="s">
        <v>779</v>
      </c>
      <c r="F1221" s="35" t="s">
        <v>322</v>
      </c>
      <c r="G1221" s="7"/>
      <c r="H1221" s="7"/>
      <c r="I1221" s="12"/>
    </row>
    <row r="1222" spans="1:9" ht="38.25" x14ac:dyDescent="0.2">
      <c r="A1222" s="35" t="str">
        <f>HYPERLINK("https://mississippidhs.jamacloud.com/perspective.req?projectId=53&amp;docId=29153","LSRP-SHRQ-1213")</f>
        <v>LSRP-SHRQ-1213</v>
      </c>
      <c r="B1222" s="8" t="s">
        <v>1578</v>
      </c>
      <c r="C1222" s="35" t="s">
        <v>319</v>
      </c>
      <c r="D1222" s="36" t="s">
        <v>1579</v>
      </c>
      <c r="E1222" s="37" t="s">
        <v>779</v>
      </c>
      <c r="F1222" s="35" t="s">
        <v>322</v>
      </c>
      <c r="G1222" s="7"/>
      <c r="H1222" s="7"/>
      <c r="I1222" s="12"/>
    </row>
    <row r="1223" spans="1:9" ht="38.25" x14ac:dyDescent="0.2">
      <c r="A1223" s="35" t="str">
        <f>HYPERLINK("https://mississippidhs.jamacloud.com/perspective.req?projectId=53&amp;docId=29154","LSRP-SHRQ-1214")</f>
        <v>LSRP-SHRQ-1214</v>
      </c>
      <c r="B1223" s="8" t="s">
        <v>1580</v>
      </c>
      <c r="C1223" s="35" t="s">
        <v>319</v>
      </c>
      <c r="D1223" s="36" t="s">
        <v>1579</v>
      </c>
      <c r="E1223" s="37" t="s">
        <v>779</v>
      </c>
      <c r="F1223" s="35" t="s">
        <v>322</v>
      </c>
      <c r="G1223" s="7"/>
      <c r="H1223" s="7"/>
      <c r="I1223" s="12"/>
    </row>
    <row r="1224" spans="1:9" ht="38.25" x14ac:dyDescent="0.2">
      <c r="A1224" s="35" t="str">
        <f>HYPERLINK("https://mississippidhs.jamacloud.com/perspective.req?projectId=53&amp;docId=29155","LSRP-SHRQ-1215")</f>
        <v>LSRP-SHRQ-1215</v>
      </c>
      <c r="B1224" s="8" t="s">
        <v>1581</v>
      </c>
      <c r="C1224" s="35" t="s">
        <v>319</v>
      </c>
      <c r="D1224" s="36" t="s">
        <v>1579</v>
      </c>
      <c r="E1224" s="37" t="s">
        <v>779</v>
      </c>
      <c r="F1224" s="35" t="s">
        <v>322</v>
      </c>
      <c r="G1224" s="7"/>
      <c r="H1224" s="7"/>
      <c r="I1224" s="12"/>
    </row>
    <row r="1225" spans="1:9" ht="38.25" x14ac:dyDescent="0.2">
      <c r="A1225" s="35" t="str">
        <f>HYPERLINK("https://mississippidhs.jamacloud.com/perspective.req?projectId=53&amp;docId=29156","LSRP-SHRQ-1216")</f>
        <v>LSRP-SHRQ-1216</v>
      </c>
      <c r="B1225" s="8" t="s">
        <v>1582</v>
      </c>
      <c r="C1225" s="35" t="s">
        <v>319</v>
      </c>
      <c r="D1225" s="36" t="s">
        <v>1579</v>
      </c>
      <c r="E1225" s="37" t="s">
        <v>779</v>
      </c>
      <c r="F1225" s="35" t="s">
        <v>322</v>
      </c>
      <c r="G1225" s="7"/>
      <c r="H1225" s="7"/>
      <c r="I1225" s="12"/>
    </row>
    <row r="1226" spans="1:9" ht="38.25" x14ac:dyDescent="0.2">
      <c r="A1226" s="35" t="str">
        <f>HYPERLINK("https://mississippidhs.jamacloud.com/perspective.req?projectId=53&amp;docId=29157","LSRP-SHRQ-1217")</f>
        <v>LSRP-SHRQ-1217</v>
      </c>
      <c r="B1226" s="8" t="s">
        <v>1583</v>
      </c>
      <c r="C1226" s="35" t="s">
        <v>319</v>
      </c>
      <c r="D1226" s="36" t="s">
        <v>1579</v>
      </c>
      <c r="E1226" s="37" t="s">
        <v>779</v>
      </c>
      <c r="F1226" s="35" t="s">
        <v>322</v>
      </c>
      <c r="G1226" s="7"/>
      <c r="H1226" s="7"/>
      <c r="I1226" s="12"/>
    </row>
    <row r="1227" spans="1:9" ht="38.25" x14ac:dyDescent="0.2">
      <c r="A1227" s="35" t="str">
        <f>HYPERLINK("https://mississippidhs.jamacloud.com/perspective.req?projectId=53&amp;docId=29158","LSRP-SHRQ-1218")</f>
        <v>LSRP-SHRQ-1218</v>
      </c>
      <c r="B1227" s="8" t="s">
        <v>1584</v>
      </c>
      <c r="C1227" s="35" t="s">
        <v>319</v>
      </c>
      <c r="D1227" s="36" t="s">
        <v>1579</v>
      </c>
      <c r="E1227" s="37" t="s">
        <v>779</v>
      </c>
      <c r="F1227" s="35" t="s">
        <v>322</v>
      </c>
      <c r="G1227" s="7"/>
      <c r="H1227" s="7"/>
      <c r="I1227" s="12"/>
    </row>
    <row r="1228" spans="1:9" ht="38.25" x14ac:dyDescent="0.2">
      <c r="A1228" s="35" t="str">
        <f>HYPERLINK("https://mississippidhs.jamacloud.com/perspective.req?projectId=53&amp;docId=29159","LSRP-SHRQ-1219")</f>
        <v>LSRP-SHRQ-1219</v>
      </c>
      <c r="B1228" s="8" t="s">
        <v>1585</v>
      </c>
      <c r="C1228" s="35" t="s">
        <v>319</v>
      </c>
      <c r="D1228" s="36" t="s">
        <v>1579</v>
      </c>
      <c r="E1228" s="37" t="s">
        <v>779</v>
      </c>
      <c r="F1228" s="35" t="s">
        <v>322</v>
      </c>
      <c r="G1228" s="7"/>
      <c r="H1228" s="7"/>
      <c r="I1228" s="12"/>
    </row>
    <row r="1229" spans="1:9" ht="25.5" x14ac:dyDescent="0.2">
      <c r="A1229" s="35" t="str">
        <f>HYPERLINK("https://mississippidhs.jamacloud.com/perspective.req?projectId=53&amp;docId=29160","LSRP-SHRQ-1220")</f>
        <v>LSRP-SHRQ-1220</v>
      </c>
      <c r="B1229" s="8" t="s">
        <v>1586</v>
      </c>
      <c r="C1229" s="35" t="s">
        <v>319</v>
      </c>
      <c r="D1229" s="36" t="s">
        <v>1579</v>
      </c>
      <c r="E1229" s="37" t="s">
        <v>779</v>
      </c>
      <c r="F1229" s="35" t="s">
        <v>322</v>
      </c>
      <c r="G1229" s="7"/>
      <c r="H1229" s="7"/>
      <c r="I1229" s="12"/>
    </row>
    <row r="1230" spans="1:9" ht="38.25" x14ac:dyDescent="0.2">
      <c r="A1230" s="35" t="str">
        <f>HYPERLINK("https://mississippidhs.jamacloud.com/perspective.req?projectId=53&amp;docId=29161","LSRP-SHRQ-1221")</f>
        <v>LSRP-SHRQ-1221</v>
      </c>
      <c r="B1230" s="8" t="s">
        <v>1587</v>
      </c>
      <c r="C1230" s="35" t="s">
        <v>319</v>
      </c>
      <c r="D1230" s="36" t="s">
        <v>1579</v>
      </c>
      <c r="E1230" s="37" t="s">
        <v>779</v>
      </c>
      <c r="F1230" s="35" t="s">
        <v>322</v>
      </c>
      <c r="G1230" s="7"/>
      <c r="H1230" s="7"/>
      <c r="I1230" s="12"/>
    </row>
    <row r="1231" spans="1:9" ht="102" x14ac:dyDescent="0.2">
      <c r="A1231" s="35" t="str">
        <f>HYPERLINK("https://mississippidhs.jamacloud.com/perspective.req?projectId=53&amp;docId=29162","LSRP-SHRQ-1222")</f>
        <v>LSRP-SHRQ-1222</v>
      </c>
      <c r="B1231" s="8" t="s">
        <v>1588</v>
      </c>
      <c r="C1231" s="35" t="s">
        <v>319</v>
      </c>
      <c r="D1231" s="36" t="s">
        <v>1579</v>
      </c>
      <c r="E1231" s="37" t="s">
        <v>779</v>
      </c>
      <c r="F1231" s="35" t="s">
        <v>322</v>
      </c>
      <c r="G1231" s="7"/>
      <c r="H1231" s="7"/>
      <c r="I1231" s="12"/>
    </row>
    <row r="1232" spans="1:9" ht="25.5" x14ac:dyDescent="0.2">
      <c r="A1232" s="35" t="str">
        <f>HYPERLINK("https://mississippidhs.jamacloud.com/perspective.req?projectId=53&amp;docId=29163","LSRP-SHRQ-1223")</f>
        <v>LSRP-SHRQ-1223</v>
      </c>
      <c r="B1232" s="8" t="s">
        <v>1589</v>
      </c>
      <c r="C1232" s="35" t="s">
        <v>319</v>
      </c>
      <c r="D1232" s="36" t="s">
        <v>1579</v>
      </c>
      <c r="E1232" s="37" t="s">
        <v>779</v>
      </c>
      <c r="F1232" s="35" t="s">
        <v>322</v>
      </c>
      <c r="G1232" s="7"/>
      <c r="H1232" s="7"/>
      <c r="I1232" s="12"/>
    </row>
    <row r="1233" spans="1:9" ht="76.5" x14ac:dyDescent="0.2">
      <c r="A1233" s="35" t="str">
        <f>HYPERLINK("https://mississippidhs.jamacloud.com/perspective.req?projectId=53&amp;docId=29164","LSRP-SHRQ-1224")</f>
        <v>LSRP-SHRQ-1224</v>
      </c>
      <c r="B1233" s="8" t="s">
        <v>1590</v>
      </c>
      <c r="C1233" s="35" t="s">
        <v>319</v>
      </c>
      <c r="D1233" s="36" t="s">
        <v>1579</v>
      </c>
      <c r="E1233" s="37" t="s">
        <v>779</v>
      </c>
      <c r="F1233" s="35" t="s">
        <v>322</v>
      </c>
      <c r="G1233" s="7"/>
      <c r="H1233" s="7"/>
      <c r="I1233" s="12"/>
    </row>
    <row r="1234" spans="1:9" ht="25.5" x14ac:dyDescent="0.2">
      <c r="A1234" s="35" t="str">
        <f>HYPERLINK("https://mississippidhs.jamacloud.com/perspective.req?projectId=53&amp;docId=29165","LSRP-SHRQ-1225")</f>
        <v>LSRP-SHRQ-1225</v>
      </c>
      <c r="B1234" s="8" t="s">
        <v>1591</v>
      </c>
      <c r="C1234" s="35" t="s">
        <v>319</v>
      </c>
      <c r="D1234" s="36" t="s">
        <v>1579</v>
      </c>
      <c r="E1234" s="37" t="s">
        <v>779</v>
      </c>
      <c r="F1234" s="35" t="s">
        <v>322</v>
      </c>
      <c r="G1234" s="7"/>
      <c r="H1234" s="7"/>
      <c r="I1234" s="12"/>
    </row>
    <row r="1235" spans="1:9" ht="25.5" x14ac:dyDescent="0.2">
      <c r="A1235" s="35" t="str">
        <f>HYPERLINK("https://mississippidhs.jamacloud.com/perspective.req?projectId=53&amp;docId=29166","LSRP-SHRQ-1226")</f>
        <v>LSRP-SHRQ-1226</v>
      </c>
      <c r="B1235" s="8" t="s">
        <v>1592</v>
      </c>
      <c r="C1235" s="35" t="s">
        <v>319</v>
      </c>
      <c r="D1235" s="36" t="s">
        <v>1579</v>
      </c>
      <c r="E1235" s="37" t="s">
        <v>779</v>
      </c>
      <c r="F1235" s="35" t="s">
        <v>322</v>
      </c>
      <c r="G1235" s="7"/>
      <c r="H1235" s="7"/>
      <c r="I1235" s="12"/>
    </row>
    <row r="1236" spans="1:9" ht="38.25" x14ac:dyDescent="0.2">
      <c r="A1236" s="35" t="str">
        <f>HYPERLINK("https://mississippidhs.jamacloud.com/perspective.req?projectId=53&amp;docId=29167","LSRP-SHRQ-1227")</f>
        <v>LSRP-SHRQ-1227</v>
      </c>
      <c r="B1236" s="8" t="s">
        <v>1593</v>
      </c>
      <c r="C1236" s="35" t="s">
        <v>319</v>
      </c>
      <c r="D1236" s="36" t="s">
        <v>1579</v>
      </c>
      <c r="E1236" s="37" t="s">
        <v>779</v>
      </c>
      <c r="F1236" s="35" t="s">
        <v>322</v>
      </c>
      <c r="G1236" s="7"/>
      <c r="H1236" s="7"/>
      <c r="I1236" s="12"/>
    </row>
    <row r="1237" spans="1:9" ht="38.25" x14ac:dyDescent="0.2">
      <c r="A1237" s="35" t="str">
        <f>HYPERLINK("https://mississippidhs.jamacloud.com/perspective.req?projectId=53&amp;docId=29168","LSRP-SHRQ-1228")</f>
        <v>LSRP-SHRQ-1228</v>
      </c>
      <c r="B1237" s="8" t="s">
        <v>1594</v>
      </c>
      <c r="C1237" s="35" t="s">
        <v>319</v>
      </c>
      <c r="D1237" s="36" t="s">
        <v>1579</v>
      </c>
      <c r="E1237" s="37" t="s">
        <v>779</v>
      </c>
      <c r="F1237" s="35" t="s">
        <v>322</v>
      </c>
      <c r="G1237" s="7"/>
      <c r="H1237" s="7"/>
      <c r="I1237" s="12"/>
    </row>
    <row r="1238" spans="1:9" ht="38.25" x14ac:dyDescent="0.2">
      <c r="A1238" s="35" t="str">
        <f>HYPERLINK("https://mississippidhs.jamacloud.com/perspective.req?projectId=53&amp;docId=29169","LSRP-SHRQ-1229")</f>
        <v>LSRP-SHRQ-1229</v>
      </c>
      <c r="B1238" s="8" t="s">
        <v>1595</v>
      </c>
      <c r="C1238" s="35" t="s">
        <v>319</v>
      </c>
      <c r="D1238" s="36" t="s">
        <v>1579</v>
      </c>
      <c r="E1238" s="37" t="s">
        <v>779</v>
      </c>
      <c r="F1238" s="35" t="s">
        <v>322</v>
      </c>
      <c r="G1238" s="7"/>
      <c r="H1238" s="7"/>
      <c r="I1238" s="12"/>
    </row>
    <row r="1239" spans="1:9" ht="14.25" x14ac:dyDescent="0.2">
      <c r="A1239" s="35" t="str">
        <f>HYPERLINK("https://mississippidhs.jamacloud.com/perspective.req?projectId=53&amp;docId=29170","LSRP-SHRQ-1230")</f>
        <v>LSRP-SHRQ-1230</v>
      </c>
      <c r="B1239" s="8" t="s">
        <v>1596</v>
      </c>
      <c r="C1239" s="35" t="s">
        <v>319</v>
      </c>
      <c r="D1239" s="36" t="s">
        <v>1579</v>
      </c>
      <c r="E1239" s="37" t="s">
        <v>779</v>
      </c>
      <c r="F1239" s="35" t="s">
        <v>322</v>
      </c>
      <c r="G1239" s="7"/>
      <c r="H1239" s="7"/>
      <c r="I1239" s="12"/>
    </row>
    <row r="1240" spans="1:9" ht="25.5" x14ac:dyDescent="0.2">
      <c r="A1240" s="35" t="str">
        <f>HYPERLINK("https://mississippidhs.jamacloud.com/perspective.req?projectId=53&amp;docId=29171","LSRP-SHRQ-1231")</f>
        <v>LSRP-SHRQ-1231</v>
      </c>
      <c r="B1240" s="8" t="s">
        <v>1597</v>
      </c>
      <c r="C1240" s="35" t="s">
        <v>319</v>
      </c>
      <c r="D1240" s="36" t="s">
        <v>1579</v>
      </c>
      <c r="E1240" s="37" t="s">
        <v>779</v>
      </c>
      <c r="F1240" s="35" t="s">
        <v>322</v>
      </c>
      <c r="G1240" s="7"/>
      <c r="H1240" s="7"/>
      <c r="I1240" s="12"/>
    </row>
    <row r="1241" spans="1:9" ht="25.5" x14ac:dyDescent="0.2">
      <c r="A1241" s="35" t="str">
        <f>HYPERLINK("https://mississippidhs.jamacloud.com/perspective.req?projectId=53&amp;docId=29172","LSRP-SHRQ-1232")</f>
        <v>LSRP-SHRQ-1232</v>
      </c>
      <c r="B1241" s="8" t="s">
        <v>1598</v>
      </c>
      <c r="C1241" s="35" t="s">
        <v>319</v>
      </c>
      <c r="D1241" s="36" t="s">
        <v>1579</v>
      </c>
      <c r="E1241" s="37" t="s">
        <v>779</v>
      </c>
      <c r="F1241" s="35" t="s">
        <v>322</v>
      </c>
      <c r="G1241" s="7"/>
      <c r="H1241" s="7"/>
      <c r="I1241" s="12"/>
    </row>
    <row r="1242" spans="1:9" ht="25.5" x14ac:dyDescent="0.2">
      <c r="A1242" s="35" t="str">
        <f>HYPERLINK("https://mississippidhs.jamacloud.com/perspective.req?projectId=53&amp;docId=29173","LSRP-SHRQ-1233")</f>
        <v>LSRP-SHRQ-1233</v>
      </c>
      <c r="B1242" s="8" t="s">
        <v>1599</v>
      </c>
      <c r="C1242" s="35" t="s">
        <v>319</v>
      </c>
      <c r="D1242" s="36" t="s">
        <v>1579</v>
      </c>
      <c r="E1242" s="37" t="s">
        <v>779</v>
      </c>
      <c r="F1242" s="35" t="s">
        <v>322</v>
      </c>
      <c r="G1242" s="7"/>
      <c r="H1242" s="7"/>
      <c r="I1242" s="12"/>
    </row>
    <row r="1243" spans="1:9" ht="25.5" x14ac:dyDescent="0.2">
      <c r="A1243" s="35" t="str">
        <f>HYPERLINK("https://mississippidhs.jamacloud.com/perspective.req?projectId=53&amp;docId=29174","LSRP-SHRQ-1234")</f>
        <v>LSRP-SHRQ-1234</v>
      </c>
      <c r="B1243" s="8" t="s">
        <v>1600</v>
      </c>
      <c r="C1243" s="35" t="s">
        <v>319</v>
      </c>
      <c r="D1243" s="36" t="s">
        <v>1579</v>
      </c>
      <c r="E1243" s="37" t="s">
        <v>779</v>
      </c>
      <c r="F1243" s="35" t="s">
        <v>322</v>
      </c>
      <c r="G1243" s="7"/>
      <c r="H1243" s="7"/>
      <c r="I1243" s="12"/>
    </row>
    <row r="1244" spans="1:9" ht="25.5" x14ac:dyDescent="0.2">
      <c r="A1244" s="35" t="str">
        <f>HYPERLINK("https://mississippidhs.jamacloud.com/perspective.req?projectId=53&amp;docId=29175","LSRP-SHRQ-1235")</f>
        <v>LSRP-SHRQ-1235</v>
      </c>
      <c r="B1244" s="8" t="s">
        <v>1601</v>
      </c>
      <c r="C1244" s="35" t="s">
        <v>319</v>
      </c>
      <c r="D1244" s="36" t="s">
        <v>1579</v>
      </c>
      <c r="E1244" s="37" t="s">
        <v>779</v>
      </c>
      <c r="F1244" s="35" t="s">
        <v>322</v>
      </c>
      <c r="G1244" s="7"/>
      <c r="H1244" s="7"/>
      <c r="I1244" s="12"/>
    </row>
    <row r="1245" spans="1:9" ht="51" x14ac:dyDescent="0.2">
      <c r="A1245" s="35" t="str">
        <f>HYPERLINK("https://mississippidhs.jamacloud.com/perspective.req?projectId=53&amp;docId=29176","LSRP-SHRQ-1236")</f>
        <v>LSRP-SHRQ-1236</v>
      </c>
      <c r="B1245" s="8" t="s">
        <v>1602</v>
      </c>
      <c r="C1245" s="35" t="s">
        <v>319</v>
      </c>
      <c r="D1245" s="36" t="s">
        <v>1579</v>
      </c>
      <c r="E1245" s="37" t="s">
        <v>779</v>
      </c>
      <c r="F1245" s="35" t="s">
        <v>322</v>
      </c>
      <c r="G1245" s="7"/>
      <c r="H1245" s="7"/>
      <c r="I1245" s="12"/>
    </row>
    <row r="1246" spans="1:9" ht="14.25" x14ac:dyDescent="0.2">
      <c r="A1246" s="35" t="str">
        <f>HYPERLINK("https://mississippidhs.jamacloud.com/perspective.req?projectId=53&amp;docId=29177","LSRP-SHRQ-1237")</f>
        <v>LSRP-SHRQ-1237</v>
      </c>
      <c r="B1246" s="8" t="s">
        <v>1603</v>
      </c>
      <c r="C1246" s="35" t="s">
        <v>319</v>
      </c>
      <c r="D1246" s="36" t="s">
        <v>1579</v>
      </c>
      <c r="E1246" s="37" t="s">
        <v>779</v>
      </c>
      <c r="F1246" s="35" t="s">
        <v>322</v>
      </c>
      <c r="G1246" s="7"/>
      <c r="H1246" s="7"/>
      <c r="I1246" s="12"/>
    </row>
    <row r="1247" spans="1:9" ht="51" x14ac:dyDescent="0.2">
      <c r="A1247" s="35" t="str">
        <f>HYPERLINK("https://mississippidhs.jamacloud.com/perspective.req?projectId=53&amp;docId=29178","LSRP-SHRQ-1238")</f>
        <v>LSRP-SHRQ-1238</v>
      </c>
      <c r="B1247" s="8" t="s">
        <v>1604</v>
      </c>
      <c r="C1247" s="35" t="s">
        <v>319</v>
      </c>
      <c r="D1247" s="36" t="s">
        <v>1579</v>
      </c>
      <c r="E1247" s="37" t="s">
        <v>779</v>
      </c>
      <c r="F1247" s="35" t="s">
        <v>322</v>
      </c>
      <c r="G1247" s="7"/>
      <c r="H1247" s="7"/>
      <c r="I1247" s="12"/>
    </row>
    <row r="1248" spans="1:9" ht="25.5" x14ac:dyDescent="0.2">
      <c r="A1248" s="35" t="str">
        <f>HYPERLINK("https://mississippidhs.jamacloud.com/perspective.req?projectId=53&amp;docId=29179","LSRP-SHRQ-1239")</f>
        <v>LSRP-SHRQ-1239</v>
      </c>
      <c r="B1248" s="8" t="s">
        <v>1605</v>
      </c>
      <c r="C1248" s="35" t="s">
        <v>319</v>
      </c>
      <c r="D1248" s="36" t="s">
        <v>1579</v>
      </c>
      <c r="E1248" s="37" t="s">
        <v>779</v>
      </c>
      <c r="F1248" s="35" t="s">
        <v>322</v>
      </c>
      <c r="G1248" s="7"/>
      <c r="H1248" s="7"/>
      <c r="I1248" s="12"/>
    </row>
    <row r="1249" spans="1:9" ht="38.25" x14ac:dyDescent="0.2">
      <c r="A1249" s="35" t="str">
        <f>HYPERLINK("https://mississippidhs.jamacloud.com/perspective.req?projectId=53&amp;docId=29180","LSRP-SHRQ-1240")</f>
        <v>LSRP-SHRQ-1240</v>
      </c>
      <c r="B1249" s="8" t="s">
        <v>1606</v>
      </c>
      <c r="C1249" s="35" t="s">
        <v>319</v>
      </c>
      <c r="D1249" s="36" t="s">
        <v>1579</v>
      </c>
      <c r="E1249" s="37" t="s">
        <v>779</v>
      </c>
      <c r="F1249" s="35" t="s">
        <v>322</v>
      </c>
      <c r="G1249" s="7"/>
      <c r="H1249" s="7"/>
      <c r="I1249" s="12"/>
    </row>
    <row r="1250" spans="1:9" ht="38.25" x14ac:dyDescent="0.2">
      <c r="A1250" s="35" t="str">
        <f>HYPERLINK("https://mississippidhs.jamacloud.com/perspective.req?projectId=53&amp;docId=29181","LSRP-SHRQ-1241")</f>
        <v>LSRP-SHRQ-1241</v>
      </c>
      <c r="B1250" s="8" t="s">
        <v>1607</v>
      </c>
      <c r="C1250" s="35" t="s">
        <v>319</v>
      </c>
      <c r="D1250" s="36" t="s">
        <v>1579</v>
      </c>
      <c r="E1250" s="37" t="s">
        <v>779</v>
      </c>
      <c r="F1250" s="35" t="s">
        <v>322</v>
      </c>
      <c r="G1250" s="7"/>
      <c r="H1250" s="7"/>
      <c r="I1250" s="12"/>
    </row>
    <row r="1251" spans="1:9" ht="25.5" x14ac:dyDescent="0.2">
      <c r="A1251" s="35" t="str">
        <f>HYPERLINK("https://mississippidhs.jamacloud.com/perspective.req?projectId=53&amp;docId=29182","LSRP-SHRQ-1242")</f>
        <v>LSRP-SHRQ-1242</v>
      </c>
      <c r="B1251" s="8" t="s">
        <v>1608</v>
      </c>
      <c r="C1251" s="35" t="s">
        <v>319</v>
      </c>
      <c r="D1251" s="36" t="s">
        <v>1579</v>
      </c>
      <c r="E1251" s="37" t="s">
        <v>779</v>
      </c>
      <c r="F1251" s="35" t="s">
        <v>322</v>
      </c>
      <c r="G1251" s="7"/>
      <c r="H1251" s="7"/>
      <c r="I1251" s="12"/>
    </row>
    <row r="1252" spans="1:9" ht="25.5" x14ac:dyDescent="0.2">
      <c r="A1252" s="35" t="str">
        <f>HYPERLINK("https://mississippidhs.jamacloud.com/perspective.req?projectId=53&amp;docId=29183","LSRP-SHRQ-1243")</f>
        <v>LSRP-SHRQ-1243</v>
      </c>
      <c r="B1252" s="8" t="s">
        <v>1609</v>
      </c>
      <c r="C1252" s="35" t="s">
        <v>319</v>
      </c>
      <c r="D1252" s="36" t="s">
        <v>1579</v>
      </c>
      <c r="E1252" s="37" t="s">
        <v>779</v>
      </c>
      <c r="F1252" s="35" t="s">
        <v>322</v>
      </c>
      <c r="G1252" s="7"/>
      <c r="H1252" s="7"/>
      <c r="I1252" s="12"/>
    </row>
    <row r="1253" spans="1:9" ht="14.25" x14ac:dyDescent="0.2">
      <c r="A1253" s="35" t="str">
        <f>HYPERLINK("https://mississippidhs.jamacloud.com/perspective.req?projectId=53&amp;docId=29184","LSRP-SHRQ-1244")</f>
        <v>LSRP-SHRQ-1244</v>
      </c>
      <c r="B1253" s="8" t="s">
        <v>1610</v>
      </c>
      <c r="C1253" s="35" t="s">
        <v>319</v>
      </c>
      <c r="D1253" s="36" t="s">
        <v>1579</v>
      </c>
      <c r="E1253" s="37" t="s">
        <v>779</v>
      </c>
      <c r="F1253" s="35" t="s">
        <v>322</v>
      </c>
      <c r="G1253" s="7"/>
      <c r="H1253" s="7"/>
      <c r="I1253" s="12"/>
    </row>
    <row r="1254" spans="1:9" ht="25.5" x14ac:dyDescent="0.2">
      <c r="A1254" s="35" t="str">
        <f>HYPERLINK("https://mississippidhs.jamacloud.com/perspective.req?projectId=53&amp;docId=29185","LSRP-SHRQ-1245")</f>
        <v>LSRP-SHRQ-1245</v>
      </c>
      <c r="B1254" s="8" t="s">
        <v>1611</v>
      </c>
      <c r="C1254" s="35" t="s">
        <v>319</v>
      </c>
      <c r="D1254" s="36" t="s">
        <v>1579</v>
      </c>
      <c r="E1254" s="37" t="s">
        <v>779</v>
      </c>
      <c r="F1254" s="35" t="s">
        <v>322</v>
      </c>
      <c r="G1254" s="7"/>
      <c r="H1254" s="7"/>
      <c r="I1254" s="12"/>
    </row>
    <row r="1255" spans="1:9" ht="25.5" x14ac:dyDescent="0.2">
      <c r="A1255" s="35" t="str">
        <f>HYPERLINK("https://mississippidhs.jamacloud.com/perspective.req?projectId=53&amp;docId=29186","LSRP-SHRQ-1246")</f>
        <v>LSRP-SHRQ-1246</v>
      </c>
      <c r="B1255" s="8" t="s">
        <v>1612</v>
      </c>
      <c r="C1255" s="35" t="s">
        <v>319</v>
      </c>
      <c r="D1255" s="36" t="s">
        <v>1579</v>
      </c>
      <c r="E1255" s="37" t="s">
        <v>779</v>
      </c>
      <c r="F1255" s="35" t="s">
        <v>322</v>
      </c>
      <c r="G1255" s="7"/>
      <c r="H1255" s="7"/>
      <c r="I1255" s="12"/>
    </row>
    <row r="1256" spans="1:9" ht="51" x14ac:dyDescent="0.2">
      <c r="A1256" s="35" t="str">
        <f>HYPERLINK("https://mississippidhs.jamacloud.com/perspective.req?projectId=53&amp;docId=29187","LSRP-SHRQ-1247")</f>
        <v>LSRP-SHRQ-1247</v>
      </c>
      <c r="B1256" s="8" t="s">
        <v>1613</v>
      </c>
      <c r="C1256" s="35" t="s">
        <v>319</v>
      </c>
      <c r="D1256" s="36" t="s">
        <v>1579</v>
      </c>
      <c r="E1256" s="37" t="s">
        <v>779</v>
      </c>
      <c r="F1256" s="35" t="s">
        <v>322</v>
      </c>
      <c r="G1256" s="7"/>
      <c r="H1256" s="7"/>
      <c r="I1256" s="12"/>
    </row>
    <row r="1257" spans="1:9" ht="25.5" x14ac:dyDescent="0.2">
      <c r="A1257" s="35" t="str">
        <f>HYPERLINK("https://mississippidhs.jamacloud.com/perspective.req?projectId=53&amp;docId=29188","LSRP-SHRQ-1248")</f>
        <v>LSRP-SHRQ-1248</v>
      </c>
      <c r="B1257" s="8" t="s">
        <v>1614</v>
      </c>
      <c r="C1257" s="35" t="s">
        <v>319</v>
      </c>
      <c r="D1257" s="36" t="s">
        <v>1579</v>
      </c>
      <c r="E1257" s="37" t="s">
        <v>779</v>
      </c>
      <c r="F1257" s="35" t="s">
        <v>322</v>
      </c>
      <c r="G1257" s="7"/>
      <c r="H1257" s="7"/>
      <c r="I1257" s="12"/>
    </row>
    <row r="1258" spans="1:9" ht="25.5" x14ac:dyDescent="0.2">
      <c r="A1258" s="35" t="str">
        <f>HYPERLINK("https://mississippidhs.jamacloud.com/perspective.req?projectId=53&amp;docId=29189","LSRP-SHRQ-1249")</f>
        <v>LSRP-SHRQ-1249</v>
      </c>
      <c r="B1258" s="8" t="s">
        <v>1615</v>
      </c>
      <c r="C1258" s="35" t="s">
        <v>319</v>
      </c>
      <c r="D1258" s="36" t="s">
        <v>1579</v>
      </c>
      <c r="E1258" s="37" t="s">
        <v>779</v>
      </c>
      <c r="F1258" s="35" t="s">
        <v>322</v>
      </c>
      <c r="G1258" s="7"/>
      <c r="H1258" s="7"/>
      <c r="I1258" s="12"/>
    </row>
    <row r="1259" spans="1:9" ht="14.25" x14ac:dyDescent="0.2">
      <c r="A1259" s="35" t="str">
        <f>HYPERLINK("https://mississippidhs.jamacloud.com/perspective.req?projectId=53&amp;docId=29190","LSRP-SHRQ-1250")</f>
        <v>LSRP-SHRQ-1250</v>
      </c>
      <c r="B1259" s="8" t="s">
        <v>1146</v>
      </c>
      <c r="C1259" s="35" t="s">
        <v>319</v>
      </c>
      <c r="D1259" s="36" t="s">
        <v>1579</v>
      </c>
      <c r="E1259" s="37" t="s">
        <v>779</v>
      </c>
      <c r="F1259" s="35" t="s">
        <v>322</v>
      </c>
      <c r="G1259" s="7"/>
      <c r="H1259" s="7"/>
      <c r="I1259" s="12"/>
    </row>
    <row r="1260" spans="1:9" ht="25.5" x14ac:dyDescent="0.2">
      <c r="A1260" s="35" t="str">
        <f>HYPERLINK("https://mississippidhs.jamacloud.com/perspective.req?projectId=53&amp;docId=29191","LSRP-SHRQ-1251")</f>
        <v>LSRP-SHRQ-1251</v>
      </c>
      <c r="B1260" s="8" t="s">
        <v>1616</v>
      </c>
      <c r="C1260" s="35" t="s">
        <v>319</v>
      </c>
      <c r="D1260" s="36" t="s">
        <v>1579</v>
      </c>
      <c r="E1260" s="37" t="s">
        <v>779</v>
      </c>
      <c r="F1260" s="35" t="s">
        <v>322</v>
      </c>
      <c r="G1260" s="7"/>
      <c r="H1260" s="7"/>
      <c r="I1260" s="12"/>
    </row>
    <row r="1261" spans="1:9" ht="25.5" x14ac:dyDescent="0.2">
      <c r="A1261" s="35" t="str">
        <f>HYPERLINK("https://mississippidhs.jamacloud.com/perspective.req?projectId=53&amp;docId=29192","LSRP-SHRQ-1252")</f>
        <v>LSRP-SHRQ-1252</v>
      </c>
      <c r="B1261" s="8" t="s">
        <v>1617</v>
      </c>
      <c r="C1261" s="35" t="s">
        <v>319</v>
      </c>
      <c r="D1261" s="36" t="s">
        <v>1579</v>
      </c>
      <c r="E1261" s="37" t="s">
        <v>779</v>
      </c>
      <c r="F1261" s="35" t="s">
        <v>322</v>
      </c>
      <c r="G1261" s="7"/>
      <c r="H1261" s="7"/>
      <c r="I1261" s="12"/>
    </row>
    <row r="1262" spans="1:9" ht="14.25" x14ac:dyDescent="0.2">
      <c r="A1262" s="35" t="str">
        <f>HYPERLINK("https://mississippidhs.jamacloud.com/perspective.req?projectId=53&amp;docId=29193","LSRP-SHRQ-1253")</f>
        <v>LSRP-SHRQ-1253</v>
      </c>
      <c r="B1262" s="8" t="s">
        <v>1618</v>
      </c>
      <c r="C1262" s="35" t="s">
        <v>319</v>
      </c>
      <c r="D1262" s="36" t="s">
        <v>1579</v>
      </c>
      <c r="E1262" s="37" t="s">
        <v>779</v>
      </c>
      <c r="F1262" s="35" t="s">
        <v>322</v>
      </c>
      <c r="G1262" s="7"/>
      <c r="H1262" s="7"/>
      <c r="I1262" s="12"/>
    </row>
    <row r="1263" spans="1:9" ht="25.5" x14ac:dyDescent="0.2">
      <c r="A1263" s="35" t="str">
        <f>HYPERLINK("https://mississippidhs.jamacloud.com/perspective.req?projectId=53&amp;docId=29194","LSRP-SHRQ-1254")</f>
        <v>LSRP-SHRQ-1254</v>
      </c>
      <c r="B1263" s="8" t="s">
        <v>1619</v>
      </c>
      <c r="C1263" s="35" t="s">
        <v>319</v>
      </c>
      <c r="D1263" s="36" t="s">
        <v>1579</v>
      </c>
      <c r="E1263" s="37" t="s">
        <v>779</v>
      </c>
      <c r="F1263" s="35" t="s">
        <v>322</v>
      </c>
      <c r="G1263" s="7"/>
      <c r="H1263" s="7"/>
      <c r="I1263" s="12"/>
    </row>
    <row r="1264" spans="1:9" ht="38.25" x14ac:dyDescent="0.2">
      <c r="A1264" s="35" t="str">
        <f>HYPERLINK("https://mississippidhs.jamacloud.com/perspective.req?projectId=53&amp;docId=29195","LSRP-SHRQ-1255")</f>
        <v>LSRP-SHRQ-1255</v>
      </c>
      <c r="B1264" s="8" t="s">
        <v>1620</v>
      </c>
      <c r="C1264" s="35" t="s">
        <v>319</v>
      </c>
      <c r="D1264" s="36" t="s">
        <v>1579</v>
      </c>
      <c r="E1264" s="37" t="s">
        <v>779</v>
      </c>
      <c r="F1264" s="35" t="s">
        <v>322</v>
      </c>
      <c r="G1264" s="7"/>
      <c r="H1264" s="7"/>
      <c r="I1264" s="12"/>
    </row>
    <row r="1265" spans="1:9" ht="14.25" x14ac:dyDescent="0.2">
      <c r="A1265" s="35" t="str">
        <f>HYPERLINK("https://mississippidhs.jamacloud.com/perspective.req?projectId=53&amp;docId=29196","LSRP-SHRQ-1256")</f>
        <v>LSRP-SHRQ-1256</v>
      </c>
      <c r="B1265" s="8" t="s">
        <v>1621</v>
      </c>
      <c r="C1265" s="35" t="s">
        <v>319</v>
      </c>
      <c r="D1265" s="36" t="s">
        <v>1579</v>
      </c>
      <c r="E1265" s="37" t="s">
        <v>779</v>
      </c>
      <c r="F1265" s="35" t="s">
        <v>322</v>
      </c>
      <c r="G1265" s="7"/>
      <c r="H1265" s="7"/>
      <c r="I1265" s="12"/>
    </row>
    <row r="1266" spans="1:9" ht="38.25" x14ac:dyDescent="0.2">
      <c r="A1266" s="35" t="str">
        <f>HYPERLINK("https://mississippidhs.jamacloud.com/perspective.req?projectId=53&amp;docId=29197","LSRP-SHRQ-1257")</f>
        <v>LSRP-SHRQ-1257</v>
      </c>
      <c r="B1266" s="8" t="s">
        <v>1622</v>
      </c>
      <c r="C1266" s="35" t="s">
        <v>319</v>
      </c>
      <c r="D1266" s="36" t="s">
        <v>1579</v>
      </c>
      <c r="E1266" s="37" t="s">
        <v>779</v>
      </c>
      <c r="F1266" s="35" t="s">
        <v>322</v>
      </c>
      <c r="G1266" s="7"/>
      <c r="H1266" s="7"/>
      <c r="I1266" s="12"/>
    </row>
    <row r="1267" spans="1:9" ht="25.5" x14ac:dyDescent="0.2">
      <c r="A1267" s="35" t="str">
        <f>HYPERLINK("https://mississippidhs.jamacloud.com/perspective.req?projectId=53&amp;docId=29198","LSRP-SHRQ-1258")</f>
        <v>LSRP-SHRQ-1258</v>
      </c>
      <c r="B1267" s="8" t="s">
        <v>1623</v>
      </c>
      <c r="C1267" s="35" t="s">
        <v>319</v>
      </c>
      <c r="D1267" s="36" t="s">
        <v>1579</v>
      </c>
      <c r="E1267" s="37" t="s">
        <v>779</v>
      </c>
      <c r="F1267" s="35" t="s">
        <v>322</v>
      </c>
      <c r="G1267" s="7"/>
      <c r="H1267" s="7"/>
      <c r="I1267" s="12"/>
    </row>
    <row r="1268" spans="1:9" ht="25.5" x14ac:dyDescent="0.2">
      <c r="A1268" s="35" t="str">
        <f>HYPERLINK("https://mississippidhs.jamacloud.com/perspective.req?projectId=53&amp;docId=29199","LSRP-SHRQ-1259")</f>
        <v>LSRP-SHRQ-1259</v>
      </c>
      <c r="B1268" s="8" t="s">
        <v>1624</v>
      </c>
      <c r="C1268" s="35" t="s">
        <v>319</v>
      </c>
      <c r="D1268" s="36" t="s">
        <v>1579</v>
      </c>
      <c r="E1268" s="37" t="s">
        <v>779</v>
      </c>
      <c r="F1268" s="35" t="s">
        <v>322</v>
      </c>
      <c r="G1268" s="7"/>
      <c r="H1268" s="7"/>
      <c r="I1268" s="12"/>
    </row>
    <row r="1269" spans="1:9" ht="38.25" x14ac:dyDescent="0.2">
      <c r="A1269" s="35" t="str">
        <f>HYPERLINK("https://mississippidhs.jamacloud.com/perspective.req?projectId=53&amp;docId=29200","LSRP-SHRQ-1260")</f>
        <v>LSRP-SHRQ-1260</v>
      </c>
      <c r="B1269" s="8" t="s">
        <v>1625</v>
      </c>
      <c r="C1269" s="35" t="s">
        <v>319</v>
      </c>
      <c r="D1269" s="36" t="s">
        <v>1579</v>
      </c>
      <c r="E1269" s="37" t="s">
        <v>779</v>
      </c>
      <c r="F1269" s="35" t="s">
        <v>322</v>
      </c>
      <c r="G1269" s="7"/>
      <c r="H1269" s="7"/>
      <c r="I1269" s="12"/>
    </row>
    <row r="1270" spans="1:9" ht="38.25" x14ac:dyDescent="0.2">
      <c r="A1270" s="35" t="str">
        <f>HYPERLINK("https://mississippidhs.jamacloud.com/perspective.req?projectId=53&amp;docId=29201","LSRP-SHRQ-1261")</f>
        <v>LSRP-SHRQ-1261</v>
      </c>
      <c r="B1270" s="8" t="s">
        <v>1626</v>
      </c>
      <c r="C1270" s="35" t="s">
        <v>319</v>
      </c>
      <c r="D1270" s="36" t="s">
        <v>1579</v>
      </c>
      <c r="E1270" s="37" t="s">
        <v>779</v>
      </c>
      <c r="F1270" s="35" t="s">
        <v>322</v>
      </c>
      <c r="G1270" s="7"/>
      <c r="H1270" s="7"/>
      <c r="I1270" s="12"/>
    </row>
    <row r="1271" spans="1:9" ht="38.25" x14ac:dyDescent="0.2">
      <c r="A1271" s="35" t="str">
        <f>HYPERLINK("https://mississippidhs.jamacloud.com/perspective.req?projectId=53&amp;docId=29202","LSRP-SHRQ-1262")</f>
        <v>LSRP-SHRQ-1262</v>
      </c>
      <c r="B1271" s="8" t="s">
        <v>1627</v>
      </c>
      <c r="C1271" s="35" t="s">
        <v>319</v>
      </c>
      <c r="D1271" s="36" t="s">
        <v>1579</v>
      </c>
      <c r="E1271" s="37" t="s">
        <v>779</v>
      </c>
      <c r="F1271" s="35" t="s">
        <v>322</v>
      </c>
      <c r="G1271" s="7"/>
      <c r="H1271" s="7"/>
      <c r="I1271" s="12"/>
    </row>
    <row r="1272" spans="1:9" ht="25.5" x14ac:dyDescent="0.2">
      <c r="A1272" s="35" t="str">
        <f>HYPERLINK("https://mississippidhs.jamacloud.com/perspective.req?projectId=53&amp;docId=29203","LSRP-SHRQ-1263")</f>
        <v>LSRP-SHRQ-1263</v>
      </c>
      <c r="B1272" s="8" t="s">
        <v>1628</v>
      </c>
      <c r="C1272" s="35" t="s">
        <v>319</v>
      </c>
      <c r="D1272" s="36" t="s">
        <v>1579</v>
      </c>
      <c r="E1272" s="37" t="s">
        <v>779</v>
      </c>
      <c r="F1272" s="35" t="s">
        <v>322</v>
      </c>
      <c r="G1272" s="7"/>
      <c r="H1272" s="7"/>
      <c r="I1272" s="12"/>
    </row>
    <row r="1273" spans="1:9" ht="38.25" x14ac:dyDescent="0.2">
      <c r="A1273" s="35" t="str">
        <f>HYPERLINK("https://mississippidhs.jamacloud.com/perspective.req?projectId=53&amp;docId=29204","LSRP-SHRQ-1264")</f>
        <v>LSRP-SHRQ-1264</v>
      </c>
      <c r="B1273" s="8" t="s">
        <v>1629</v>
      </c>
      <c r="C1273" s="35" t="s">
        <v>319</v>
      </c>
      <c r="D1273" s="36" t="s">
        <v>1579</v>
      </c>
      <c r="E1273" s="37" t="s">
        <v>779</v>
      </c>
      <c r="F1273" s="35" t="s">
        <v>322</v>
      </c>
      <c r="G1273" s="7"/>
      <c r="H1273" s="7"/>
      <c r="I1273" s="12"/>
    </row>
    <row r="1274" spans="1:9" ht="38.25" x14ac:dyDescent="0.2">
      <c r="A1274" s="35" t="str">
        <f>HYPERLINK("https://mississippidhs.jamacloud.com/perspective.req?projectId=53&amp;docId=29205","LSRP-SHRQ-1265")</f>
        <v>LSRP-SHRQ-1265</v>
      </c>
      <c r="B1274" s="8" t="s">
        <v>1630</v>
      </c>
      <c r="C1274" s="35" t="s">
        <v>319</v>
      </c>
      <c r="D1274" s="36" t="s">
        <v>1579</v>
      </c>
      <c r="E1274" s="37" t="s">
        <v>779</v>
      </c>
      <c r="F1274" s="35" t="s">
        <v>322</v>
      </c>
      <c r="G1274" s="7"/>
      <c r="H1274" s="7"/>
      <c r="I1274" s="12"/>
    </row>
    <row r="1275" spans="1:9" ht="25.5" x14ac:dyDescent="0.2">
      <c r="A1275" s="35" t="str">
        <f>HYPERLINK("https://mississippidhs.jamacloud.com/perspective.req?projectId=53&amp;docId=29206","LSRP-SHRQ-1266")</f>
        <v>LSRP-SHRQ-1266</v>
      </c>
      <c r="B1275" s="8" t="s">
        <v>1631</v>
      </c>
      <c r="C1275" s="35" t="s">
        <v>319</v>
      </c>
      <c r="D1275" s="36" t="s">
        <v>1579</v>
      </c>
      <c r="E1275" s="37" t="s">
        <v>779</v>
      </c>
      <c r="F1275" s="35" t="s">
        <v>322</v>
      </c>
      <c r="G1275" s="7"/>
      <c r="H1275" s="7"/>
      <c r="I1275" s="12"/>
    </row>
    <row r="1276" spans="1:9" ht="25.5" x14ac:dyDescent="0.2">
      <c r="A1276" s="35" t="str">
        <f>HYPERLINK("https://mississippidhs.jamacloud.com/perspective.req?projectId=53&amp;docId=29207","LSRP-SHRQ-1267")</f>
        <v>LSRP-SHRQ-1267</v>
      </c>
      <c r="B1276" s="8" t="s">
        <v>1632</v>
      </c>
      <c r="C1276" s="35" t="s">
        <v>319</v>
      </c>
      <c r="D1276" s="36" t="s">
        <v>1579</v>
      </c>
      <c r="E1276" s="37" t="s">
        <v>779</v>
      </c>
      <c r="F1276" s="35" t="s">
        <v>322</v>
      </c>
      <c r="G1276" s="7"/>
      <c r="H1276" s="7"/>
      <c r="I1276" s="12"/>
    </row>
    <row r="1277" spans="1:9" ht="25.5" x14ac:dyDescent="0.2">
      <c r="A1277" s="35" t="str">
        <f>HYPERLINK("https://mississippidhs.jamacloud.com/perspective.req?projectId=53&amp;docId=29208","LSRP-SHRQ-1268")</f>
        <v>LSRP-SHRQ-1268</v>
      </c>
      <c r="B1277" s="8" t="s">
        <v>1633</v>
      </c>
      <c r="C1277" s="35" t="s">
        <v>319</v>
      </c>
      <c r="D1277" s="36" t="s">
        <v>1579</v>
      </c>
      <c r="E1277" s="37" t="s">
        <v>779</v>
      </c>
      <c r="F1277" s="35" t="s">
        <v>322</v>
      </c>
      <c r="G1277" s="7"/>
      <c r="H1277" s="7"/>
      <c r="I1277" s="12"/>
    </row>
    <row r="1278" spans="1:9" ht="14.25" x14ac:dyDescent="0.2">
      <c r="A1278" s="35" t="str">
        <f>HYPERLINK("https://mississippidhs.jamacloud.com/perspective.req?projectId=53&amp;docId=29209","LSRP-SHRQ-1269")</f>
        <v>LSRP-SHRQ-1269</v>
      </c>
      <c r="B1278" s="8" t="s">
        <v>1634</v>
      </c>
      <c r="C1278" s="35" t="s">
        <v>319</v>
      </c>
      <c r="D1278" s="36" t="s">
        <v>1579</v>
      </c>
      <c r="E1278" s="37" t="s">
        <v>779</v>
      </c>
      <c r="F1278" s="35" t="s">
        <v>322</v>
      </c>
      <c r="G1278" s="7"/>
      <c r="H1278" s="7"/>
      <c r="I1278" s="12"/>
    </row>
    <row r="1279" spans="1:9" ht="38.25" x14ac:dyDescent="0.2">
      <c r="A1279" s="35" t="str">
        <f>HYPERLINK("https://mississippidhs.jamacloud.com/perspective.req?projectId=53&amp;docId=29210","LSRP-SHRQ-1270")</f>
        <v>LSRP-SHRQ-1270</v>
      </c>
      <c r="B1279" s="8" t="s">
        <v>1635</v>
      </c>
      <c r="C1279" s="35" t="s">
        <v>319</v>
      </c>
      <c r="D1279" s="36" t="s">
        <v>1579</v>
      </c>
      <c r="E1279" s="37" t="s">
        <v>779</v>
      </c>
      <c r="F1279" s="35" t="s">
        <v>322</v>
      </c>
      <c r="G1279" s="7"/>
      <c r="H1279" s="7"/>
      <c r="I1279" s="12"/>
    </row>
    <row r="1280" spans="1:9" ht="38.25" x14ac:dyDescent="0.2">
      <c r="A1280" s="35" t="str">
        <f>HYPERLINK("https://mississippidhs.jamacloud.com/perspective.req?projectId=53&amp;docId=29211","LSRP-SHRQ-1271")</f>
        <v>LSRP-SHRQ-1271</v>
      </c>
      <c r="B1280" s="8" t="s">
        <v>1636</v>
      </c>
      <c r="C1280" s="35" t="s">
        <v>319</v>
      </c>
      <c r="D1280" s="36" t="s">
        <v>1579</v>
      </c>
      <c r="E1280" s="37" t="s">
        <v>779</v>
      </c>
      <c r="F1280" s="35" t="s">
        <v>322</v>
      </c>
      <c r="G1280" s="7"/>
      <c r="H1280" s="7"/>
      <c r="I1280" s="12"/>
    </row>
    <row r="1281" spans="1:9" ht="25.5" x14ac:dyDescent="0.2">
      <c r="A1281" s="35" t="str">
        <f>HYPERLINK("https://mississippidhs.jamacloud.com/perspective.req?projectId=53&amp;docId=29213","LSRP-SHRQ-1272")</f>
        <v>LSRP-SHRQ-1272</v>
      </c>
      <c r="B1281" s="8" t="s">
        <v>1637</v>
      </c>
      <c r="C1281" s="35" t="s">
        <v>401</v>
      </c>
      <c r="D1281" s="36" t="s">
        <v>37</v>
      </c>
      <c r="E1281" s="37" t="s">
        <v>779</v>
      </c>
      <c r="F1281" s="35" t="s">
        <v>590</v>
      </c>
      <c r="G1281" s="7"/>
      <c r="H1281" s="7"/>
      <c r="I1281" s="12"/>
    </row>
    <row r="1282" spans="1:9" ht="38.25" x14ac:dyDescent="0.2">
      <c r="A1282" s="35" t="str">
        <f>HYPERLINK("https://mississippidhs.jamacloud.com/perspective.req?projectId=53&amp;docId=29214","LSRP-SHRQ-1273")</f>
        <v>LSRP-SHRQ-1273</v>
      </c>
      <c r="B1282" s="8" t="s">
        <v>1638</v>
      </c>
      <c r="C1282" s="35" t="s">
        <v>401</v>
      </c>
      <c r="D1282" s="36" t="s">
        <v>37</v>
      </c>
      <c r="E1282" s="37" t="s">
        <v>779</v>
      </c>
      <c r="F1282" s="35" t="s">
        <v>452</v>
      </c>
      <c r="G1282" s="7"/>
      <c r="H1282" s="7"/>
      <c r="I1282" s="12"/>
    </row>
    <row r="1283" spans="1:9" ht="38.25" x14ac:dyDescent="0.2">
      <c r="A1283" s="35" t="str">
        <f>HYPERLINK("https://mississippidhs.jamacloud.com/perspective.req?projectId=53&amp;docId=29215","LSRP-SHRQ-1274")</f>
        <v>LSRP-SHRQ-1274</v>
      </c>
      <c r="B1283" s="8" t="s">
        <v>1639</v>
      </c>
      <c r="C1283" s="35" t="s">
        <v>401</v>
      </c>
      <c r="D1283" s="36" t="s">
        <v>37</v>
      </c>
      <c r="E1283" s="37" t="s">
        <v>779</v>
      </c>
      <c r="F1283" s="35" t="s">
        <v>452</v>
      </c>
      <c r="G1283" s="7"/>
      <c r="H1283" s="7"/>
      <c r="I1283" s="12"/>
    </row>
    <row r="1284" spans="1:9" ht="25.5" x14ac:dyDescent="0.2">
      <c r="A1284" s="35" t="str">
        <f>HYPERLINK("https://mississippidhs.jamacloud.com/perspective.req?projectId=53&amp;docId=29216","LSRP-SHRQ-1275")</f>
        <v>LSRP-SHRQ-1275</v>
      </c>
      <c r="B1284" s="8" t="s">
        <v>1640</v>
      </c>
      <c r="C1284" s="35" t="s">
        <v>401</v>
      </c>
      <c r="D1284" s="36" t="s">
        <v>37</v>
      </c>
      <c r="E1284" s="37" t="s">
        <v>779</v>
      </c>
      <c r="F1284" s="35" t="s">
        <v>590</v>
      </c>
      <c r="G1284" s="7"/>
      <c r="H1284" s="7"/>
      <c r="I1284" s="12"/>
    </row>
    <row r="1285" spans="1:9" ht="14.25" x14ac:dyDescent="0.2">
      <c r="A1285" s="35" t="str">
        <f>HYPERLINK("https://mississippidhs.jamacloud.com/perspective.req?projectId=53&amp;docId=29217","LSRP-SHRQ-1276")</f>
        <v>LSRP-SHRQ-1276</v>
      </c>
      <c r="B1285" s="8" t="s">
        <v>1641</v>
      </c>
      <c r="C1285" s="35" t="s">
        <v>401</v>
      </c>
      <c r="D1285" s="36" t="s">
        <v>37</v>
      </c>
      <c r="E1285" s="37" t="s">
        <v>779</v>
      </c>
      <c r="F1285" s="35" t="s">
        <v>590</v>
      </c>
      <c r="G1285" s="7"/>
      <c r="H1285" s="7"/>
      <c r="I1285" s="12"/>
    </row>
    <row r="1286" spans="1:9" ht="14.25" x14ac:dyDescent="0.2">
      <c r="A1286" s="35" t="str">
        <f>HYPERLINK("https://mississippidhs.jamacloud.com/perspective.req?projectId=53&amp;docId=29218","LSRP-SHRQ-1277")</f>
        <v>LSRP-SHRQ-1277</v>
      </c>
      <c r="B1286" s="8" t="s">
        <v>1642</v>
      </c>
      <c r="C1286" s="35" t="s">
        <v>401</v>
      </c>
      <c r="D1286" s="36" t="s">
        <v>37</v>
      </c>
      <c r="E1286" s="37" t="s">
        <v>779</v>
      </c>
      <c r="F1286" s="35" t="s">
        <v>590</v>
      </c>
      <c r="G1286" s="7"/>
      <c r="H1286" s="7"/>
      <c r="I1286" s="12"/>
    </row>
    <row r="1287" spans="1:9" ht="14.25" x14ac:dyDescent="0.2">
      <c r="A1287" s="35" t="str">
        <f>HYPERLINK("https://mississippidhs.jamacloud.com/perspective.req?projectId=53&amp;docId=29219","LSRP-SHRQ-1278")</f>
        <v>LSRP-SHRQ-1278</v>
      </c>
      <c r="B1287" s="8" t="s">
        <v>1643</v>
      </c>
      <c r="C1287" s="35" t="s">
        <v>401</v>
      </c>
      <c r="D1287" s="36" t="s">
        <v>37</v>
      </c>
      <c r="E1287" s="37" t="s">
        <v>779</v>
      </c>
      <c r="F1287" s="35" t="s">
        <v>590</v>
      </c>
      <c r="G1287" s="7"/>
      <c r="H1287" s="7"/>
      <c r="I1287" s="12"/>
    </row>
    <row r="1288" spans="1:9" ht="14.25" x14ac:dyDescent="0.2">
      <c r="A1288" s="35" t="str">
        <f>HYPERLINK("https://mississippidhs.jamacloud.com/perspective.req?projectId=53&amp;docId=29220","LSRP-SHRQ-1279")</f>
        <v>LSRP-SHRQ-1279</v>
      </c>
      <c r="B1288" s="8" t="s">
        <v>1644</v>
      </c>
      <c r="C1288" s="35" t="s">
        <v>401</v>
      </c>
      <c r="D1288" s="36" t="s">
        <v>37</v>
      </c>
      <c r="E1288" s="37" t="s">
        <v>779</v>
      </c>
      <c r="F1288" s="35" t="s">
        <v>590</v>
      </c>
      <c r="G1288" s="7"/>
      <c r="H1288" s="7"/>
      <c r="I1288" s="12"/>
    </row>
    <row r="1289" spans="1:9" ht="14.25" x14ac:dyDescent="0.2">
      <c r="A1289" s="35" t="str">
        <f>HYPERLINK("https://mississippidhs.jamacloud.com/perspective.req?projectId=53&amp;docId=29221","LSRP-SHRQ-1280")</f>
        <v>LSRP-SHRQ-1280</v>
      </c>
      <c r="B1289" s="8" t="s">
        <v>720</v>
      </c>
      <c r="C1289" s="35" t="s">
        <v>401</v>
      </c>
      <c r="D1289" s="36" t="s">
        <v>37</v>
      </c>
      <c r="E1289" s="37" t="s">
        <v>779</v>
      </c>
      <c r="F1289" s="35" t="s">
        <v>590</v>
      </c>
      <c r="G1289" s="7"/>
      <c r="H1289" s="7"/>
      <c r="I1289" s="12"/>
    </row>
    <row r="1290" spans="1:9" ht="25.5" x14ac:dyDescent="0.2">
      <c r="A1290" s="35" t="str">
        <f>HYPERLINK("https://mississippidhs.jamacloud.com/perspective.req?projectId=53&amp;docId=29222","LSRP-SHRQ-1281")</f>
        <v>LSRP-SHRQ-1281</v>
      </c>
      <c r="B1290" s="8" t="s">
        <v>1645</v>
      </c>
      <c r="C1290" s="35" t="s">
        <v>401</v>
      </c>
      <c r="D1290" s="36" t="s">
        <v>37</v>
      </c>
      <c r="E1290" s="37" t="s">
        <v>779</v>
      </c>
      <c r="F1290" s="35" t="s">
        <v>590</v>
      </c>
      <c r="G1290" s="7"/>
      <c r="H1290" s="7"/>
      <c r="I1290" s="12"/>
    </row>
    <row r="1291" spans="1:9" ht="25.5" x14ac:dyDescent="0.2">
      <c r="A1291" s="35" t="str">
        <f>HYPERLINK("https://mississippidhs.jamacloud.com/perspective.req?projectId=53&amp;docId=29223","LSRP-SHRQ-1282")</f>
        <v>LSRP-SHRQ-1282</v>
      </c>
      <c r="B1291" s="8" t="s">
        <v>1646</v>
      </c>
      <c r="C1291" s="35" t="s">
        <v>401</v>
      </c>
      <c r="D1291" s="36" t="s">
        <v>37</v>
      </c>
      <c r="E1291" s="37" t="s">
        <v>779</v>
      </c>
      <c r="F1291" s="35" t="s">
        <v>590</v>
      </c>
      <c r="G1291" s="7"/>
      <c r="H1291" s="7"/>
      <c r="I1291" s="12"/>
    </row>
    <row r="1292" spans="1:9" ht="25.5" x14ac:dyDescent="0.2">
      <c r="A1292" s="35" t="str">
        <f>HYPERLINK("https://mississippidhs.jamacloud.com/perspective.req?projectId=53&amp;docId=29224","LSRP-SHRQ-1283")</f>
        <v>LSRP-SHRQ-1283</v>
      </c>
      <c r="B1292" s="8" t="s">
        <v>1647</v>
      </c>
      <c r="C1292" s="35" t="s">
        <v>401</v>
      </c>
      <c r="D1292" s="36" t="s">
        <v>37</v>
      </c>
      <c r="E1292" s="37" t="s">
        <v>779</v>
      </c>
      <c r="F1292" s="35" t="s">
        <v>590</v>
      </c>
      <c r="G1292" s="7"/>
      <c r="H1292" s="7"/>
      <c r="I1292" s="12"/>
    </row>
    <row r="1293" spans="1:9" ht="38.25" x14ac:dyDescent="0.2">
      <c r="A1293" s="35" t="str">
        <f>HYPERLINK("https://mississippidhs.jamacloud.com/perspective.req?projectId=53&amp;docId=29225","LSRP-SHRQ-1284")</f>
        <v>LSRP-SHRQ-1284</v>
      </c>
      <c r="B1293" s="8" t="s">
        <v>1648</v>
      </c>
      <c r="C1293" s="35" t="s">
        <v>401</v>
      </c>
      <c r="D1293" s="36" t="s">
        <v>37</v>
      </c>
      <c r="E1293" s="37" t="s">
        <v>779</v>
      </c>
      <c r="F1293" s="35" t="s">
        <v>590</v>
      </c>
      <c r="G1293" s="7"/>
      <c r="H1293" s="7"/>
      <c r="I1293" s="12"/>
    </row>
    <row r="1294" spans="1:9" ht="25.5" x14ac:dyDescent="0.2">
      <c r="A1294" s="35" t="str">
        <f>HYPERLINK("https://mississippidhs.jamacloud.com/perspective.req?projectId=53&amp;docId=29226","LSRP-SHRQ-1285")</f>
        <v>LSRP-SHRQ-1285</v>
      </c>
      <c r="B1294" s="8" t="s">
        <v>1649</v>
      </c>
      <c r="C1294" s="35" t="s">
        <v>401</v>
      </c>
      <c r="D1294" s="36" t="s">
        <v>37</v>
      </c>
      <c r="E1294" s="37" t="s">
        <v>779</v>
      </c>
      <c r="F1294" s="35" t="s">
        <v>550</v>
      </c>
      <c r="G1294" s="7"/>
      <c r="H1294" s="7"/>
      <c r="I1294" s="12"/>
    </row>
    <row r="1295" spans="1:9" ht="25.5" x14ac:dyDescent="0.2">
      <c r="A1295" s="35" t="str">
        <f>HYPERLINK("https://mississippidhs.jamacloud.com/perspective.req?projectId=53&amp;docId=29227","LSRP-SHRQ-1286")</f>
        <v>LSRP-SHRQ-1286</v>
      </c>
      <c r="B1295" s="8" t="s">
        <v>1650</v>
      </c>
      <c r="C1295" s="35" t="s">
        <v>401</v>
      </c>
      <c r="D1295" s="36" t="s">
        <v>37</v>
      </c>
      <c r="E1295" s="37" t="s">
        <v>779</v>
      </c>
      <c r="F1295" s="35" t="s">
        <v>550</v>
      </c>
      <c r="G1295" s="7"/>
      <c r="H1295" s="7"/>
      <c r="I1295" s="12"/>
    </row>
    <row r="1296" spans="1:9" ht="38.25" x14ac:dyDescent="0.2">
      <c r="A1296" s="35" t="str">
        <f>HYPERLINK("https://mississippidhs.jamacloud.com/perspective.req?projectId=53&amp;docId=29228","LSRP-SHRQ-1287")</f>
        <v>LSRP-SHRQ-1287</v>
      </c>
      <c r="B1296" s="31" t="s">
        <v>1651</v>
      </c>
      <c r="C1296" s="35" t="s">
        <v>401</v>
      </c>
      <c r="D1296" s="36" t="s">
        <v>37</v>
      </c>
      <c r="E1296" s="37" t="s">
        <v>779</v>
      </c>
      <c r="F1296" s="35" t="s">
        <v>554</v>
      </c>
      <c r="G1296" s="7"/>
      <c r="H1296" s="7"/>
      <c r="I1296" s="12"/>
    </row>
    <row r="1297" spans="1:9" ht="51" x14ac:dyDescent="0.2">
      <c r="A1297" s="35" t="str">
        <f>HYPERLINK("https://mississippidhs.jamacloud.com/perspective.req?projectId=53&amp;docId=29229","LSRP-SHRQ-1288")</f>
        <v>LSRP-SHRQ-1288</v>
      </c>
      <c r="B1297" s="8" t="s">
        <v>1652</v>
      </c>
      <c r="C1297" s="35" t="s">
        <v>401</v>
      </c>
      <c r="D1297" s="36" t="s">
        <v>37</v>
      </c>
      <c r="E1297" s="37" t="s">
        <v>779</v>
      </c>
      <c r="F1297" s="35" t="s">
        <v>550</v>
      </c>
      <c r="G1297" s="7"/>
      <c r="H1297" s="7"/>
      <c r="I1297" s="12"/>
    </row>
    <row r="1298" spans="1:9" ht="38.25" x14ac:dyDescent="0.2">
      <c r="A1298" s="35" t="str">
        <f>HYPERLINK("https://mississippidhs.jamacloud.com/perspective.req?projectId=53&amp;docId=29230","LSRP-SHRQ-1289")</f>
        <v>LSRP-SHRQ-1289</v>
      </c>
      <c r="B1298" s="8" t="s">
        <v>1653</v>
      </c>
      <c r="C1298" s="35" t="s">
        <v>401</v>
      </c>
      <c r="D1298" s="36" t="s">
        <v>37</v>
      </c>
      <c r="E1298" s="37" t="s">
        <v>779</v>
      </c>
      <c r="F1298" s="35" t="s">
        <v>545</v>
      </c>
      <c r="G1298" s="7"/>
      <c r="H1298" s="7"/>
      <c r="I1298" s="12"/>
    </row>
    <row r="1299" spans="1:9" ht="14.25" x14ac:dyDescent="0.2">
      <c r="A1299" s="35" t="str">
        <f>HYPERLINK("https://mississippidhs.jamacloud.com/perspective.req?projectId=53&amp;docId=29231","LSRP-SHRQ-1290")</f>
        <v>LSRP-SHRQ-1290</v>
      </c>
      <c r="B1299" s="8" t="s">
        <v>1146</v>
      </c>
      <c r="C1299" s="35" t="s">
        <v>401</v>
      </c>
      <c r="D1299" s="36" t="s">
        <v>37</v>
      </c>
      <c r="E1299" s="37" t="s">
        <v>779</v>
      </c>
      <c r="F1299" s="35" t="s">
        <v>545</v>
      </c>
      <c r="G1299" s="7"/>
      <c r="H1299" s="7"/>
      <c r="I1299" s="12"/>
    </row>
    <row r="1300" spans="1:9" ht="25.5" x14ac:dyDescent="0.2">
      <c r="A1300" s="35" t="str">
        <f>HYPERLINK("https://mississippidhs.jamacloud.com/perspective.req?projectId=53&amp;docId=29232","LSRP-SHRQ-1291")</f>
        <v>LSRP-SHRQ-1291</v>
      </c>
      <c r="B1300" s="8" t="s">
        <v>1654</v>
      </c>
      <c r="C1300" s="35" t="s">
        <v>401</v>
      </c>
      <c r="D1300" s="36" t="s">
        <v>37</v>
      </c>
      <c r="E1300" s="37" t="s">
        <v>779</v>
      </c>
      <c r="F1300" s="35" t="s">
        <v>545</v>
      </c>
      <c r="G1300" s="7"/>
      <c r="H1300" s="7"/>
      <c r="I1300" s="12"/>
    </row>
    <row r="1301" spans="1:9" ht="25.5" x14ac:dyDescent="0.2">
      <c r="A1301" s="35" t="str">
        <f>HYPERLINK("https://mississippidhs.jamacloud.com/perspective.req?projectId=53&amp;docId=29233","LSRP-SHRQ-1292")</f>
        <v>LSRP-SHRQ-1292</v>
      </c>
      <c r="B1301" s="8" t="s">
        <v>1655</v>
      </c>
      <c r="C1301" s="35" t="s">
        <v>401</v>
      </c>
      <c r="D1301" s="36" t="s">
        <v>37</v>
      </c>
      <c r="E1301" s="37" t="s">
        <v>779</v>
      </c>
      <c r="F1301" s="35" t="s">
        <v>452</v>
      </c>
      <c r="G1301" s="7"/>
      <c r="H1301" s="7"/>
      <c r="I1301" s="12"/>
    </row>
    <row r="1302" spans="1:9" ht="25.5" x14ac:dyDescent="0.2">
      <c r="A1302" s="35" t="str">
        <f>HYPERLINK("https://mississippidhs.jamacloud.com/perspective.req?projectId=53&amp;docId=29234","LSRP-SHRQ-1293")</f>
        <v>LSRP-SHRQ-1293</v>
      </c>
      <c r="B1302" s="8" t="s">
        <v>1656</v>
      </c>
      <c r="C1302" s="35" t="s">
        <v>401</v>
      </c>
      <c r="D1302" s="36" t="s">
        <v>37</v>
      </c>
      <c r="E1302" s="37" t="s">
        <v>779</v>
      </c>
      <c r="F1302" s="35" t="s">
        <v>898</v>
      </c>
      <c r="G1302" s="7"/>
      <c r="H1302" s="7"/>
      <c r="I1302" s="12"/>
    </row>
    <row r="1303" spans="1:9" ht="25.5" x14ac:dyDescent="0.2">
      <c r="A1303" s="35" t="str">
        <f>HYPERLINK("https://mississippidhs.jamacloud.com/perspective.req?projectId=53&amp;docId=29235","LSRP-SHRQ-1294")</f>
        <v>LSRP-SHRQ-1294</v>
      </c>
      <c r="B1303" s="8" t="s">
        <v>1657</v>
      </c>
      <c r="C1303" s="35" t="s">
        <v>401</v>
      </c>
      <c r="D1303" s="36" t="s">
        <v>37</v>
      </c>
      <c r="E1303" s="37" t="s">
        <v>779</v>
      </c>
      <c r="F1303" s="35" t="s">
        <v>898</v>
      </c>
      <c r="G1303" s="7"/>
      <c r="H1303" s="7"/>
      <c r="I1303" s="12"/>
    </row>
    <row r="1304" spans="1:9" ht="25.5" x14ac:dyDescent="0.2">
      <c r="A1304" s="35" t="str">
        <f>HYPERLINK("https://mississippidhs.jamacloud.com/perspective.req?projectId=53&amp;docId=29236","LSRP-SHRQ-1295")</f>
        <v>LSRP-SHRQ-1295</v>
      </c>
      <c r="B1304" s="8" t="s">
        <v>1658</v>
      </c>
      <c r="C1304" s="35" t="s">
        <v>401</v>
      </c>
      <c r="D1304" s="36" t="s">
        <v>37</v>
      </c>
      <c r="E1304" s="37" t="s">
        <v>779</v>
      </c>
      <c r="F1304" s="35" t="s">
        <v>898</v>
      </c>
      <c r="G1304" s="7"/>
      <c r="H1304" s="7"/>
      <c r="I1304" s="12"/>
    </row>
    <row r="1305" spans="1:9" ht="25.5" x14ac:dyDescent="0.2">
      <c r="A1305" s="35" t="str">
        <f>HYPERLINK("https://mississippidhs.jamacloud.com/perspective.req?projectId=53&amp;docId=29237","LSRP-SHRQ-1296")</f>
        <v>LSRP-SHRQ-1296</v>
      </c>
      <c r="B1305" s="8" t="s">
        <v>1659</v>
      </c>
      <c r="C1305" s="35" t="s">
        <v>401</v>
      </c>
      <c r="D1305" s="36" t="s">
        <v>37</v>
      </c>
      <c r="E1305" s="37" t="s">
        <v>779</v>
      </c>
      <c r="F1305" s="35" t="s">
        <v>898</v>
      </c>
      <c r="G1305" s="7"/>
      <c r="H1305" s="7"/>
      <c r="I1305" s="12"/>
    </row>
    <row r="1306" spans="1:9" ht="38.25" x14ac:dyDescent="0.2">
      <c r="A1306" s="35" t="str">
        <f>HYPERLINK("https://mississippidhs.jamacloud.com/perspective.req?projectId=53&amp;docId=29238","LSRP-SHRQ-1297")</f>
        <v>LSRP-SHRQ-1297</v>
      </c>
      <c r="B1306" s="8" t="s">
        <v>1660</v>
      </c>
      <c r="C1306" s="35" t="s">
        <v>401</v>
      </c>
      <c r="D1306" s="36" t="s">
        <v>37</v>
      </c>
      <c r="E1306" s="37" t="s">
        <v>779</v>
      </c>
      <c r="F1306" s="35" t="s">
        <v>898</v>
      </c>
      <c r="G1306" s="7"/>
      <c r="H1306" s="7"/>
      <c r="I1306" s="12"/>
    </row>
    <row r="1307" spans="1:9" ht="38.25" x14ac:dyDescent="0.2">
      <c r="A1307" s="35" t="str">
        <f>HYPERLINK("https://mississippidhs.jamacloud.com/perspective.req?projectId=53&amp;docId=29239","LSRP-SHRQ-1298")</f>
        <v>LSRP-SHRQ-1298</v>
      </c>
      <c r="B1307" s="8" t="s">
        <v>1661</v>
      </c>
      <c r="C1307" s="35" t="s">
        <v>401</v>
      </c>
      <c r="D1307" s="36" t="s">
        <v>37</v>
      </c>
      <c r="E1307" s="37" t="s">
        <v>779</v>
      </c>
      <c r="F1307" s="35" t="s">
        <v>898</v>
      </c>
      <c r="G1307" s="7"/>
      <c r="H1307" s="7"/>
      <c r="I1307" s="12"/>
    </row>
    <row r="1308" spans="1:9" ht="25.5" x14ac:dyDescent="0.2">
      <c r="A1308" s="35" t="str">
        <f>HYPERLINK("https://mississippidhs.jamacloud.com/perspective.req?projectId=53&amp;docId=29240","LSRP-SHRQ-1299")</f>
        <v>LSRP-SHRQ-1299</v>
      </c>
      <c r="B1308" s="8" t="s">
        <v>1662</v>
      </c>
      <c r="C1308" s="35" t="s">
        <v>401</v>
      </c>
      <c r="D1308" s="36" t="s">
        <v>37</v>
      </c>
      <c r="E1308" s="37" t="s">
        <v>779</v>
      </c>
      <c r="F1308" s="35" t="s">
        <v>898</v>
      </c>
      <c r="G1308" s="7"/>
      <c r="H1308" s="7"/>
      <c r="I1308" s="12"/>
    </row>
    <row r="1309" spans="1:9" ht="25.5" x14ac:dyDescent="0.2">
      <c r="A1309" s="35" t="str">
        <f>HYPERLINK("https://mississippidhs.jamacloud.com/perspective.req?projectId=53&amp;docId=29241","LSRP-SHRQ-1300")</f>
        <v>LSRP-SHRQ-1300</v>
      </c>
      <c r="B1309" s="8" t="s">
        <v>1663</v>
      </c>
      <c r="C1309" s="35" t="s">
        <v>401</v>
      </c>
      <c r="D1309" s="36" t="s">
        <v>37</v>
      </c>
      <c r="E1309" s="37" t="s">
        <v>779</v>
      </c>
      <c r="F1309" s="35" t="s">
        <v>898</v>
      </c>
      <c r="G1309" s="7"/>
      <c r="H1309" s="7"/>
      <c r="I1309" s="12"/>
    </row>
    <row r="1310" spans="1:9" ht="25.5" x14ac:dyDescent="0.2">
      <c r="A1310" s="35" t="str">
        <f>HYPERLINK("https://mississippidhs.jamacloud.com/perspective.req?projectId=53&amp;docId=29242","LSRP-SHRQ-1301")</f>
        <v>LSRP-SHRQ-1301</v>
      </c>
      <c r="B1310" s="8" t="s">
        <v>1664</v>
      </c>
      <c r="C1310" s="35" t="s">
        <v>401</v>
      </c>
      <c r="D1310" s="36" t="s">
        <v>37</v>
      </c>
      <c r="E1310" s="37" t="s">
        <v>779</v>
      </c>
      <c r="F1310" s="35" t="s">
        <v>322</v>
      </c>
      <c r="G1310" s="7"/>
      <c r="H1310" s="7"/>
      <c r="I1310" s="12"/>
    </row>
    <row r="1311" spans="1:9" ht="25.5" x14ac:dyDescent="0.2">
      <c r="A1311" s="35" t="str">
        <f>HYPERLINK("https://mississippidhs.jamacloud.com/perspective.req?projectId=53&amp;docId=29243","LSRP-SHRQ-1302")</f>
        <v>LSRP-SHRQ-1302</v>
      </c>
      <c r="B1311" s="8" t="s">
        <v>1665</v>
      </c>
      <c r="C1311" s="35" t="s">
        <v>401</v>
      </c>
      <c r="D1311" s="36" t="s">
        <v>37</v>
      </c>
      <c r="E1311" s="37" t="s">
        <v>779</v>
      </c>
      <c r="F1311" s="35" t="s">
        <v>322</v>
      </c>
      <c r="G1311" s="7"/>
      <c r="H1311" s="7"/>
      <c r="I1311" s="12"/>
    </row>
    <row r="1312" spans="1:9" ht="25.5" x14ac:dyDescent="0.2">
      <c r="A1312" s="35" t="str">
        <f>HYPERLINK("https://mississippidhs.jamacloud.com/perspective.req?projectId=53&amp;docId=29244","LSRP-SHRQ-1303")</f>
        <v>LSRP-SHRQ-1303</v>
      </c>
      <c r="B1312" s="8" t="s">
        <v>1666</v>
      </c>
      <c r="C1312" s="35" t="s">
        <v>401</v>
      </c>
      <c r="D1312" s="36" t="s">
        <v>37</v>
      </c>
      <c r="E1312" s="37" t="s">
        <v>779</v>
      </c>
      <c r="F1312" s="35" t="s">
        <v>322</v>
      </c>
      <c r="G1312" s="7"/>
      <c r="H1312" s="7"/>
      <c r="I1312" s="12"/>
    </row>
    <row r="1313" spans="1:9" ht="38.25" x14ac:dyDescent="0.2">
      <c r="A1313" s="35" t="str">
        <f>HYPERLINK("https://mississippidhs.jamacloud.com/perspective.req?projectId=53&amp;docId=29245","LSRP-SHRQ-1304")</f>
        <v>LSRP-SHRQ-1304</v>
      </c>
      <c r="B1313" s="8" t="s">
        <v>1667</v>
      </c>
      <c r="C1313" s="35" t="s">
        <v>401</v>
      </c>
      <c r="D1313" s="36" t="s">
        <v>37</v>
      </c>
      <c r="E1313" s="37" t="s">
        <v>779</v>
      </c>
      <c r="F1313" s="35" t="s">
        <v>898</v>
      </c>
      <c r="G1313" s="7"/>
      <c r="H1313" s="7"/>
      <c r="I1313" s="12"/>
    </row>
    <row r="1314" spans="1:9" ht="25.5" x14ac:dyDescent="0.2">
      <c r="A1314" s="35" t="str">
        <f>HYPERLINK("https://mississippidhs.jamacloud.com/perspective.req?projectId=53&amp;docId=29246","LSRP-SHRQ-1305")</f>
        <v>LSRP-SHRQ-1305</v>
      </c>
      <c r="B1314" s="8" t="s">
        <v>1668</v>
      </c>
      <c r="C1314" s="35" t="s">
        <v>401</v>
      </c>
      <c r="D1314" s="36" t="s">
        <v>37</v>
      </c>
      <c r="E1314" s="37" t="s">
        <v>779</v>
      </c>
      <c r="F1314" s="35" t="s">
        <v>322</v>
      </c>
      <c r="G1314" s="7"/>
      <c r="H1314" s="7"/>
      <c r="I1314" s="12"/>
    </row>
    <row r="1315" spans="1:9" ht="25.5" x14ac:dyDescent="0.2">
      <c r="A1315" s="35" t="str">
        <f>HYPERLINK("https://mississippidhs.jamacloud.com/perspective.req?projectId=53&amp;docId=29247","LSRP-SHRQ-1306")</f>
        <v>LSRP-SHRQ-1306</v>
      </c>
      <c r="B1315" s="8" t="s">
        <v>1669</v>
      </c>
      <c r="C1315" s="35" t="s">
        <v>401</v>
      </c>
      <c r="D1315" s="36" t="s">
        <v>37</v>
      </c>
      <c r="E1315" s="37" t="s">
        <v>779</v>
      </c>
      <c r="F1315" s="35" t="s">
        <v>898</v>
      </c>
      <c r="G1315" s="7"/>
      <c r="H1315" s="7"/>
      <c r="I1315" s="12"/>
    </row>
    <row r="1316" spans="1:9" ht="25.5" x14ac:dyDescent="0.2">
      <c r="A1316" s="35" t="str">
        <f>HYPERLINK("https://mississippidhs.jamacloud.com/perspective.req?projectId=53&amp;docId=29248","LSRP-SHRQ-1307")</f>
        <v>LSRP-SHRQ-1307</v>
      </c>
      <c r="B1316" s="8" t="s">
        <v>1670</v>
      </c>
      <c r="C1316" s="35" t="s">
        <v>401</v>
      </c>
      <c r="D1316" s="36" t="s">
        <v>37</v>
      </c>
      <c r="E1316" s="37" t="s">
        <v>779</v>
      </c>
      <c r="F1316" s="35" t="s">
        <v>322</v>
      </c>
      <c r="G1316" s="7"/>
      <c r="H1316" s="7"/>
      <c r="I1316" s="12"/>
    </row>
    <row r="1317" spans="1:9" ht="38.25" x14ac:dyDescent="0.2">
      <c r="A1317" s="35" t="str">
        <f>HYPERLINK("https://mississippidhs.jamacloud.com/perspective.req?projectId=53&amp;docId=29249","LSRP-SHRQ-1308")</f>
        <v>LSRP-SHRQ-1308</v>
      </c>
      <c r="B1317" s="8" t="s">
        <v>1671</v>
      </c>
      <c r="C1317" s="35" t="s">
        <v>401</v>
      </c>
      <c r="D1317" s="36" t="s">
        <v>37</v>
      </c>
      <c r="E1317" s="37" t="s">
        <v>779</v>
      </c>
      <c r="F1317" s="35" t="s">
        <v>898</v>
      </c>
      <c r="G1317" s="7"/>
      <c r="H1317" s="7"/>
      <c r="I1317" s="12"/>
    </row>
    <row r="1318" spans="1:9" ht="25.5" x14ac:dyDescent="0.2">
      <c r="A1318" s="35" t="str">
        <f>HYPERLINK("https://mississippidhs.jamacloud.com/perspective.req?projectId=53&amp;docId=29250","LSRP-SHRQ-1309")</f>
        <v>LSRP-SHRQ-1309</v>
      </c>
      <c r="B1318" s="8" t="s">
        <v>1672</v>
      </c>
      <c r="C1318" s="35" t="s">
        <v>401</v>
      </c>
      <c r="D1318" s="36" t="s">
        <v>37</v>
      </c>
      <c r="E1318" s="37" t="s">
        <v>779</v>
      </c>
      <c r="F1318" s="35" t="s">
        <v>898</v>
      </c>
      <c r="G1318" s="7"/>
      <c r="H1318" s="7"/>
      <c r="I1318" s="12"/>
    </row>
    <row r="1319" spans="1:9" ht="25.5" x14ac:dyDescent="0.2">
      <c r="A1319" s="35" t="str">
        <f>HYPERLINK("https://mississippidhs.jamacloud.com/perspective.req?projectId=53&amp;docId=29251","LSRP-SHRQ-1310")</f>
        <v>LSRP-SHRQ-1310</v>
      </c>
      <c r="B1319" s="8" t="s">
        <v>1673</v>
      </c>
      <c r="C1319" s="35" t="s">
        <v>401</v>
      </c>
      <c r="D1319" s="36" t="s">
        <v>37</v>
      </c>
      <c r="E1319" s="37" t="s">
        <v>779</v>
      </c>
      <c r="F1319" s="35" t="s">
        <v>898</v>
      </c>
      <c r="G1319" s="7"/>
      <c r="H1319" s="7"/>
      <c r="I1319" s="12"/>
    </row>
    <row r="1320" spans="1:9" ht="38.25" x14ac:dyDescent="0.2">
      <c r="A1320" s="35" t="str">
        <f>HYPERLINK("https://mississippidhs.jamacloud.com/perspective.req?projectId=53&amp;docId=29252","LSRP-SHRQ-1311")</f>
        <v>LSRP-SHRQ-1311</v>
      </c>
      <c r="B1320" s="8" t="s">
        <v>1674</v>
      </c>
      <c r="C1320" s="35" t="s">
        <v>401</v>
      </c>
      <c r="D1320" s="36" t="s">
        <v>37</v>
      </c>
      <c r="E1320" s="37" t="s">
        <v>779</v>
      </c>
      <c r="F1320" s="35" t="s">
        <v>425</v>
      </c>
      <c r="G1320" s="7"/>
      <c r="H1320" s="7"/>
      <c r="I1320" s="12"/>
    </row>
    <row r="1321" spans="1:9" ht="38.25" x14ac:dyDescent="0.2">
      <c r="A1321" s="35" t="str">
        <f>HYPERLINK("https://mississippidhs.jamacloud.com/perspective.req?projectId=53&amp;docId=29253","LSRP-SHRQ-1312")</f>
        <v>LSRP-SHRQ-1312</v>
      </c>
      <c r="B1321" s="8" t="s">
        <v>1675</v>
      </c>
      <c r="C1321" s="35" t="s">
        <v>401</v>
      </c>
      <c r="D1321" s="36" t="s">
        <v>37</v>
      </c>
      <c r="E1321" s="37" t="s">
        <v>779</v>
      </c>
      <c r="F1321" s="35" t="s">
        <v>425</v>
      </c>
      <c r="G1321" s="7"/>
      <c r="H1321" s="7"/>
      <c r="I1321" s="12"/>
    </row>
    <row r="1322" spans="1:9" ht="38.25" x14ac:dyDescent="0.2">
      <c r="A1322" s="35" t="str">
        <f>HYPERLINK("https://mississippidhs.jamacloud.com/perspective.req?projectId=53&amp;docId=29254","LSRP-SHRQ-1313")</f>
        <v>LSRP-SHRQ-1313</v>
      </c>
      <c r="B1322" s="8" t="s">
        <v>1676</v>
      </c>
      <c r="C1322" s="35" t="s">
        <v>401</v>
      </c>
      <c r="D1322" s="36" t="s">
        <v>37</v>
      </c>
      <c r="E1322" s="37" t="s">
        <v>779</v>
      </c>
      <c r="F1322" s="35" t="s">
        <v>590</v>
      </c>
      <c r="G1322" s="7"/>
      <c r="H1322" s="7"/>
      <c r="I1322" s="12"/>
    </row>
    <row r="1323" spans="1:9" ht="38.25" x14ac:dyDescent="0.2">
      <c r="A1323" s="35" t="str">
        <f>HYPERLINK("https://mississippidhs.jamacloud.com/perspective.req?projectId=53&amp;docId=29255","LSRP-SHRQ-1314")</f>
        <v>LSRP-SHRQ-1314</v>
      </c>
      <c r="B1323" s="8" t="s">
        <v>1677</v>
      </c>
      <c r="C1323" s="35" t="s">
        <v>401</v>
      </c>
      <c r="D1323" s="36" t="s">
        <v>37</v>
      </c>
      <c r="E1323" s="37" t="s">
        <v>779</v>
      </c>
      <c r="F1323" s="35" t="s">
        <v>573</v>
      </c>
      <c r="G1323" s="7"/>
      <c r="H1323" s="7"/>
      <c r="I1323" s="12"/>
    </row>
    <row r="1324" spans="1:9" ht="25.5" x14ac:dyDescent="0.2">
      <c r="A1324" s="35" t="str">
        <f>HYPERLINK("https://mississippidhs.jamacloud.com/perspective.req?projectId=53&amp;docId=29256","LSRP-SHRQ-1315")</f>
        <v>LSRP-SHRQ-1315</v>
      </c>
      <c r="B1324" s="8" t="s">
        <v>1678</v>
      </c>
      <c r="C1324" s="35" t="s">
        <v>401</v>
      </c>
      <c r="D1324" s="36" t="s">
        <v>37</v>
      </c>
      <c r="E1324" s="37" t="s">
        <v>779</v>
      </c>
      <c r="F1324" s="35" t="s">
        <v>394</v>
      </c>
      <c r="G1324" s="7"/>
      <c r="H1324" s="7"/>
      <c r="I1324" s="12"/>
    </row>
    <row r="1325" spans="1:9" ht="25.5" x14ac:dyDescent="0.2">
      <c r="A1325" s="35" t="str">
        <f>HYPERLINK("https://mississippidhs.jamacloud.com/perspective.req?projectId=53&amp;docId=29257","LSRP-SHRQ-1316")</f>
        <v>LSRP-SHRQ-1316</v>
      </c>
      <c r="B1325" s="8" t="s">
        <v>1679</v>
      </c>
      <c r="C1325" s="35" t="s">
        <v>401</v>
      </c>
      <c r="D1325" s="36" t="s">
        <v>37</v>
      </c>
      <c r="E1325" s="37" t="s">
        <v>779</v>
      </c>
      <c r="F1325" s="35" t="s">
        <v>269</v>
      </c>
      <c r="G1325" s="7"/>
      <c r="H1325" s="7"/>
      <c r="I1325" s="12"/>
    </row>
    <row r="1326" spans="1:9" ht="38.25" x14ac:dyDescent="0.2">
      <c r="A1326" s="35" t="str">
        <f>HYPERLINK("https://mississippidhs.jamacloud.com/perspective.req?projectId=53&amp;docId=29258","LSRP-SHRQ-1317")</f>
        <v>LSRP-SHRQ-1317</v>
      </c>
      <c r="B1326" s="8" t="s">
        <v>1680</v>
      </c>
      <c r="C1326" s="35" t="s">
        <v>401</v>
      </c>
      <c r="D1326" s="36" t="s">
        <v>37</v>
      </c>
      <c r="E1326" s="37" t="s">
        <v>779</v>
      </c>
      <c r="F1326" s="35" t="s">
        <v>322</v>
      </c>
      <c r="G1326" s="7"/>
      <c r="H1326" s="7"/>
      <c r="I1326" s="12"/>
    </row>
    <row r="1327" spans="1:9" ht="25.5" x14ac:dyDescent="0.2">
      <c r="A1327" s="35" t="str">
        <f>HYPERLINK("https://mississippidhs.jamacloud.com/perspective.req?projectId=53&amp;docId=29259","LSRP-SHRQ-1318")</f>
        <v>LSRP-SHRQ-1318</v>
      </c>
      <c r="B1327" s="8" t="s">
        <v>1681</v>
      </c>
      <c r="C1327" s="35" t="s">
        <v>401</v>
      </c>
      <c r="D1327" s="36" t="s">
        <v>37</v>
      </c>
      <c r="E1327" s="37" t="s">
        <v>779</v>
      </c>
      <c r="F1327" s="35" t="s">
        <v>1682</v>
      </c>
      <c r="G1327" s="7"/>
      <c r="H1327" s="7"/>
      <c r="I1327" s="12"/>
    </row>
    <row r="1328" spans="1:9" ht="14.25" x14ac:dyDescent="0.2">
      <c r="A1328" s="35" t="str">
        <f>HYPERLINK("https://mississippidhs.jamacloud.com/perspective.req?projectId=53&amp;docId=29260","LSRP-SHRQ-1319")</f>
        <v>LSRP-SHRQ-1319</v>
      </c>
      <c r="B1328" s="8" t="s">
        <v>1683</v>
      </c>
      <c r="C1328" s="35" t="s">
        <v>401</v>
      </c>
      <c r="D1328" s="36" t="s">
        <v>37</v>
      </c>
      <c r="E1328" s="37" t="s">
        <v>779</v>
      </c>
      <c r="F1328" s="35" t="s">
        <v>1682</v>
      </c>
      <c r="G1328" s="7"/>
      <c r="H1328" s="7"/>
      <c r="I1328" s="12"/>
    </row>
    <row r="1329" spans="1:9" ht="25.5" x14ac:dyDescent="0.2">
      <c r="A1329" s="35" t="str">
        <f>HYPERLINK("https://mississippidhs.jamacloud.com/perspective.req?projectId=53&amp;docId=29261","LSRP-SHRQ-1320")</f>
        <v>LSRP-SHRQ-1320</v>
      </c>
      <c r="B1329" s="8" t="s">
        <v>1684</v>
      </c>
      <c r="C1329" s="35" t="s">
        <v>401</v>
      </c>
      <c r="D1329" s="36" t="s">
        <v>37</v>
      </c>
      <c r="E1329" s="37" t="s">
        <v>779</v>
      </c>
      <c r="F1329" s="35" t="s">
        <v>1682</v>
      </c>
      <c r="G1329" s="7"/>
      <c r="H1329" s="7"/>
      <c r="I1329" s="12"/>
    </row>
    <row r="1330" spans="1:9" ht="25.5" x14ac:dyDescent="0.2">
      <c r="A1330" s="35" t="str">
        <f>HYPERLINK("https://mississippidhs.jamacloud.com/perspective.req?projectId=53&amp;docId=29262","LSRP-SHRQ-1321")</f>
        <v>LSRP-SHRQ-1321</v>
      </c>
      <c r="B1330" s="8" t="s">
        <v>1685</v>
      </c>
      <c r="C1330" s="35" t="s">
        <v>401</v>
      </c>
      <c r="D1330" s="36" t="s">
        <v>37</v>
      </c>
      <c r="E1330" s="37" t="s">
        <v>779</v>
      </c>
      <c r="F1330" s="35" t="s">
        <v>322</v>
      </c>
      <c r="G1330" s="7"/>
      <c r="H1330" s="7"/>
      <c r="I1330" s="12"/>
    </row>
    <row r="1331" spans="1:9" ht="38.25" x14ac:dyDescent="0.2">
      <c r="A1331" s="35" t="str">
        <f>HYPERLINK("https://mississippidhs.jamacloud.com/perspective.req?projectId=53&amp;docId=29263","LSRP-SHRQ-1322")</f>
        <v>LSRP-SHRQ-1322</v>
      </c>
      <c r="B1331" s="8" t="s">
        <v>1686</v>
      </c>
      <c r="C1331" s="35" t="s">
        <v>401</v>
      </c>
      <c r="D1331" s="36" t="s">
        <v>37</v>
      </c>
      <c r="E1331" s="37" t="s">
        <v>779</v>
      </c>
      <c r="F1331" s="35" t="s">
        <v>322</v>
      </c>
      <c r="G1331" s="7"/>
      <c r="H1331" s="7"/>
      <c r="I1331" s="12"/>
    </row>
    <row r="1332" spans="1:9" ht="25.5" x14ac:dyDescent="0.2">
      <c r="A1332" s="35" t="str">
        <f>HYPERLINK("https://mississippidhs.jamacloud.com/perspective.req?projectId=53&amp;docId=29264","LSRP-SHRQ-1323")</f>
        <v>LSRP-SHRQ-1323</v>
      </c>
      <c r="B1332" s="8" t="s">
        <v>1687</v>
      </c>
      <c r="C1332" s="35" t="s">
        <v>401</v>
      </c>
      <c r="D1332" s="36" t="s">
        <v>37</v>
      </c>
      <c r="E1332" s="37" t="s">
        <v>779</v>
      </c>
      <c r="F1332" s="35" t="s">
        <v>322</v>
      </c>
      <c r="G1332" s="7"/>
      <c r="H1332" s="7"/>
      <c r="I1332" s="12"/>
    </row>
    <row r="1333" spans="1:9" ht="51" x14ac:dyDescent="0.2">
      <c r="A1333" s="35" t="str">
        <f>HYPERLINK("https://mississippidhs.jamacloud.com/perspective.req?projectId=53&amp;docId=29265","LSRP-SHRQ-1324")</f>
        <v>LSRP-SHRQ-1324</v>
      </c>
      <c r="B1333" s="8" t="s">
        <v>1688</v>
      </c>
      <c r="C1333" s="35" t="s">
        <v>401</v>
      </c>
      <c r="D1333" s="36" t="s">
        <v>37</v>
      </c>
      <c r="E1333" s="37" t="s">
        <v>779</v>
      </c>
      <c r="F1333" s="35" t="s">
        <v>322</v>
      </c>
      <c r="G1333" s="7"/>
      <c r="H1333" s="7"/>
      <c r="I1333" s="12"/>
    </row>
    <row r="1334" spans="1:9" ht="14.25" x14ac:dyDescent="0.2">
      <c r="A1334" s="35" t="str">
        <f>HYPERLINK("https://mississippidhs.jamacloud.com/perspective.req?projectId=53&amp;docId=29266","LSRP-SHRQ-1325")</f>
        <v>LSRP-SHRQ-1325</v>
      </c>
      <c r="B1334" s="8" t="s">
        <v>1689</v>
      </c>
      <c r="C1334" s="35" t="s">
        <v>401</v>
      </c>
      <c r="D1334" s="36" t="s">
        <v>37</v>
      </c>
      <c r="E1334" s="37" t="s">
        <v>779</v>
      </c>
      <c r="F1334" s="35" t="s">
        <v>578</v>
      </c>
      <c r="G1334" s="7"/>
      <c r="H1334" s="7"/>
      <c r="I1334" s="12"/>
    </row>
    <row r="1335" spans="1:9" ht="25.5" x14ac:dyDescent="0.2">
      <c r="A1335" s="35" t="str">
        <f>HYPERLINK("https://mississippidhs.jamacloud.com/perspective.req?projectId=53&amp;docId=29267","LSRP-SHRQ-1326")</f>
        <v>LSRP-SHRQ-1326</v>
      </c>
      <c r="B1335" s="8" t="s">
        <v>1690</v>
      </c>
      <c r="C1335" s="35" t="s">
        <v>401</v>
      </c>
      <c r="D1335" s="36" t="s">
        <v>37</v>
      </c>
      <c r="E1335" s="37" t="s">
        <v>779</v>
      </c>
      <c r="F1335" s="35" t="s">
        <v>322</v>
      </c>
      <c r="G1335" s="7"/>
      <c r="H1335" s="7"/>
      <c r="I1335" s="12"/>
    </row>
    <row r="1336" spans="1:9" ht="25.5" x14ac:dyDescent="0.2">
      <c r="A1336" s="35" t="str">
        <f>HYPERLINK("https://mississippidhs.jamacloud.com/perspective.req?projectId=53&amp;docId=29268","LSRP-SHRQ-1327")</f>
        <v>LSRP-SHRQ-1327</v>
      </c>
      <c r="B1336" s="8" t="s">
        <v>1691</v>
      </c>
      <c r="C1336" s="35" t="s">
        <v>401</v>
      </c>
      <c r="D1336" s="36" t="s">
        <v>37</v>
      </c>
      <c r="E1336" s="37" t="s">
        <v>779</v>
      </c>
      <c r="F1336" s="35" t="s">
        <v>322</v>
      </c>
      <c r="G1336" s="7"/>
      <c r="H1336" s="7"/>
      <c r="I1336" s="12"/>
    </row>
    <row r="1337" spans="1:9" ht="25.5" x14ac:dyDescent="0.2">
      <c r="A1337" s="35" t="str">
        <f>HYPERLINK("https://mississippidhs.jamacloud.com/perspective.req?projectId=53&amp;docId=29269","LSRP-SHRQ-1328")</f>
        <v>LSRP-SHRQ-1328</v>
      </c>
      <c r="B1337" s="8" t="s">
        <v>1692</v>
      </c>
      <c r="C1337" s="35" t="s">
        <v>401</v>
      </c>
      <c r="D1337" s="36" t="s">
        <v>37</v>
      </c>
      <c r="E1337" s="37" t="s">
        <v>779</v>
      </c>
      <c r="F1337" s="35" t="s">
        <v>322</v>
      </c>
      <c r="G1337" s="7"/>
      <c r="H1337" s="7"/>
      <c r="I1337" s="12"/>
    </row>
    <row r="1338" spans="1:9" ht="25.5" x14ac:dyDescent="0.2">
      <c r="A1338" s="35" t="str">
        <f>HYPERLINK("https://mississippidhs.jamacloud.com/perspective.req?projectId=53&amp;docId=29270","LSRP-SHRQ-1329")</f>
        <v>LSRP-SHRQ-1329</v>
      </c>
      <c r="B1338" s="8" t="s">
        <v>1693</v>
      </c>
      <c r="C1338" s="35" t="s">
        <v>401</v>
      </c>
      <c r="D1338" s="36" t="s">
        <v>37</v>
      </c>
      <c r="E1338" s="37" t="s">
        <v>779</v>
      </c>
      <c r="F1338" s="35" t="s">
        <v>322</v>
      </c>
      <c r="G1338" s="7"/>
      <c r="H1338" s="7"/>
      <c r="I1338" s="12"/>
    </row>
    <row r="1339" spans="1:9" ht="38.25" x14ac:dyDescent="0.2">
      <c r="A1339" s="35" t="str">
        <f>HYPERLINK("https://mississippidhs.jamacloud.com/perspective.req?projectId=53&amp;docId=29271","LSRP-SHRQ-1330")</f>
        <v>LSRP-SHRQ-1330</v>
      </c>
      <c r="B1339" s="8" t="s">
        <v>1694</v>
      </c>
      <c r="C1339" s="35" t="s">
        <v>401</v>
      </c>
      <c r="D1339" s="36" t="s">
        <v>37</v>
      </c>
      <c r="E1339" s="37" t="s">
        <v>779</v>
      </c>
      <c r="F1339" s="35" t="s">
        <v>322</v>
      </c>
      <c r="G1339" s="7"/>
      <c r="H1339" s="7"/>
      <c r="I1339" s="12"/>
    </row>
    <row r="1340" spans="1:9" ht="38.25" x14ac:dyDescent="0.2">
      <c r="A1340" s="35" t="str">
        <f>HYPERLINK("https://mississippidhs.jamacloud.com/perspective.req?projectId=53&amp;docId=29272","LSRP-SHRQ-1331")</f>
        <v>LSRP-SHRQ-1331</v>
      </c>
      <c r="B1340" s="8" t="s">
        <v>1695</v>
      </c>
      <c r="C1340" s="35" t="s">
        <v>401</v>
      </c>
      <c r="D1340" s="36" t="s">
        <v>37</v>
      </c>
      <c r="E1340" s="37" t="s">
        <v>779</v>
      </c>
      <c r="F1340" s="35" t="s">
        <v>573</v>
      </c>
      <c r="G1340" s="7"/>
      <c r="H1340" s="7"/>
      <c r="I1340" s="12"/>
    </row>
    <row r="1341" spans="1:9" ht="25.5" x14ac:dyDescent="0.2">
      <c r="A1341" s="35" t="str">
        <f>HYPERLINK("https://mississippidhs.jamacloud.com/perspective.req?projectId=53&amp;docId=29273","LSRP-SHRQ-1332")</f>
        <v>LSRP-SHRQ-1332</v>
      </c>
      <c r="B1341" s="8" t="s">
        <v>1696</v>
      </c>
      <c r="C1341" s="35" t="s">
        <v>401</v>
      </c>
      <c r="D1341" s="36" t="s">
        <v>37</v>
      </c>
      <c r="E1341" s="37" t="s">
        <v>779</v>
      </c>
      <c r="F1341" s="35" t="s">
        <v>322</v>
      </c>
      <c r="G1341" s="7"/>
      <c r="H1341" s="7"/>
      <c r="I1341" s="12"/>
    </row>
    <row r="1342" spans="1:9" ht="38.25" x14ac:dyDescent="0.2">
      <c r="A1342" s="35" t="str">
        <f>HYPERLINK("https://mississippidhs.jamacloud.com/perspective.req?projectId=53&amp;docId=29274","LSRP-SHRQ-1333")</f>
        <v>LSRP-SHRQ-1333</v>
      </c>
      <c r="B1342" s="8" t="s">
        <v>1697</v>
      </c>
      <c r="C1342" s="35" t="s">
        <v>401</v>
      </c>
      <c r="D1342" s="36" t="s">
        <v>37</v>
      </c>
      <c r="E1342" s="37" t="s">
        <v>779</v>
      </c>
      <c r="F1342" s="35" t="s">
        <v>322</v>
      </c>
      <c r="G1342" s="7"/>
      <c r="H1342" s="7"/>
      <c r="I1342" s="12"/>
    </row>
    <row r="1343" spans="1:9" ht="25.5" x14ac:dyDescent="0.2">
      <c r="A1343" s="35" t="str">
        <f>HYPERLINK("https://mississippidhs.jamacloud.com/perspective.req?projectId=53&amp;docId=29275","LSRP-SHRQ-1334")</f>
        <v>LSRP-SHRQ-1334</v>
      </c>
      <c r="B1343" s="8" t="s">
        <v>1698</v>
      </c>
      <c r="C1343" s="35" t="s">
        <v>401</v>
      </c>
      <c r="D1343" s="36" t="s">
        <v>37</v>
      </c>
      <c r="E1343" s="37" t="s">
        <v>779</v>
      </c>
      <c r="F1343" s="35" t="s">
        <v>322</v>
      </c>
      <c r="G1343" s="7"/>
      <c r="H1343" s="7"/>
      <c r="I1343" s="12"/>
    </row>
    <row r="1344" spans="1:9" ht="38.25" x14ac:dyDescent="0.2">
      <c r="A1344" s="35" t="str">
        <f>HYPERLINK("https://mississippidhs.jamacloud.com/perspective.req?projectId=53&amp;docId=29276","LSRP-SHRQ-1335")</f>
        <v>LSRP-SHRQ-1335</v>
      </c>
      <c r="B1344" s="8" t="s">
        <v>1699</v>
      </c>
      <c r="C1344" s="35" t="s">
        <v>401</v>
      </c>
      <c r="D1344" s="36" t="s">
        <v>37</v>
      </c>
      <c r="E1344" s="37" t="s">
        <v>779</v>
      </c>
      <c r="F1344" s="35" t="s">
        <v>322</v>
      </c>
      <c r="G1344" s="7"/>
      <c r="H1344" s="7"/>
      <c r="I1344" s="12"/>
    </row>
    <row r="1345" spans="1:9" ht="38.25" x14ac:dyDescent="0.2">
      <c r="A1345" s="35" t="str">
        <f>HYPERLINK("https://mississippidhs.jamacloud.com/perspective.req?projectId=53&amp;docId=29277","LSRP-SHRQ-1336")</f>
        <v>LSRP-SHRQ-1336</v>
      </c>
      <c r="B1345" s="8" t="s">
        <v>1700</v>
      </c>
      <c r="C1345" s="35" t="s">
        <v>401</v>
      </c>
      <c r="D1345" s="36" t="s">
        <v>37</v>
      </c>
      <c r="E1345" s="37" t="s">
        <v>779</v>
      </c>
      <c r="F1345" s="35" t="s">
        <v>322</v>
      </c>
      <c r="G1345" s="7"/>
      <c r="H1345" s="7"/>
      <c r="I1345" s="12"/>
    </row>
    <row r="1346" spans="1:9" ht="51" x14ac:dyDescent="0.2">
      <c r="A1346" s="35" t="str">
        <f>HYPERLINK("https://mississippidhs.jamacloud.com/perspective.req?projectId=53&amp;docId=29278","LSRP-SHRQ-1337")</f>
        <v>LSRP-SHRQ-1337</v>
      </c>
      <c r="B1346" s="8" t="s">
        <v>1701</v>
      </c>
      <c r="C1346" s="35" t="s">
        <v>401</v>
      </c>
      <c r="D1346" s="36" t="s">
        <v>37</v>
      </c>
      <c r="E1346" s="37" t="s">
        <v>779</v>
      </c>
      <c r="F1346" s="35" t="s">
        <v>322</v>
      </c>
      <c r="G1346" s="7"/>
      <c r="H1346" s="7"/>
      <c r="I1346" s="12"/>
    </row>
    <row r="1347" spans="1:9" ht="38.25" x14ac:dyDescent="0.2">
      <c r="A1347" s="35" t="str">
        <f>HYPERLINK("https://mississippidhs.jamacloud.com/perspective.req?projectId=53&amp;docId=29279","LSRP-SHRQ-1338")</f>
        <v>LSRP-SHRQ-1338</v>
      </c>
      <c r="B1347" s="8" t="s">
        <v>1702</v>
      </c>
      <c r="C1347" s="35" t="s">
        <v>401</v>
      </c>
      <c r="D1347" s="36" t="s">
        <v>37</v>
      </c>
      <c r="E1347" s="37" t="s">
        <v>779</v>
      </c>
      <c r="F1347" s="35" t="s">
        <v>411</v>
      </c>
      <c r="G1347" s="7"/>
      <c r="H1347" s="7"/>
      <c r="I1347" s="12"/>
    </row>
    <row r="1348" spans="1:9" ht="25.5" x14ac:dyDescent="0.2">
      <c r="A1348" s="35" t="str">
        <f>HYPERLINK("https://mississippidhs.jamacloud.com/perspective.req?projectId=53&amp;docId=29280","LSRP-SHRQ-1339")</f>
        <v>LSRP-SHRQ-1339</v>
      </c>
      <c r="B1348" s="8" t="s">
        <v>1703</v>
      </c>
      <c r="C1348" s="35" t="s">
        <v>401</v>
      </c>
      <c r="D1348" s="36" t="s">
        <v>37</v>
      </c>
      <c r="E1348" s="37" t="s">
        <v>779</v>
      </c>
      <c r="F1348" s="35" t="s">
        <v>411</v>
      </c>
      <c r="G1348" s="7"/>
      <c r="H1348" s="7"/>
      <c r="I1348" s="12"/>
    </row>
    <row r="1349" spans="1:9" ht="14.25" x14ac:dyDescent="0.2">
      <c r="A1349" s="35" t="str">
        <f>HYPERLINK("https://mississippidhs.jamacloud.com/perspective.req?projectId=53&amp;docId=29281","LSRP-SHRQ-1340")</f>
        <v>LSRP-SHRQ-1340</v>
      </c>
      <c r="B1349" s="8" t="s">
        <v>1704</v>
      </c>
      <c r="C1349" s="35" t="s">
        <v>401</v>
      </c>
      <c r="D1349" s="36" t="s">
        <v>37</v>
      </c>
      <c r="E1349" s="37" t="s">
        <v>779</v>
      </c>
      <c r="F1349" s="35" t="s">
        <v>411</v>
      </c>
      <c r="G1349" s="7"/>
      <c r="H1349" s="7"/>
      <c r="I1349" s="12"/>
    </row>
    <row r="1350" spans="1:9" ht="38.25" x14ac:dyDescent="0.2">
      <c r="A1350" s="35" t="str">
        <f>HYPERLINK("https://mississippidhs.jamacloud.com/perspective.req?projectId=53&amp;docId=29282","LSRP-SHRQ-1341")</f>
        <v>LSRP-SHRQ-1341</v>
      </c>
      <c r="B1350" s="8" t="s">
        <v>1705</v>
      </c>
      <c r="C1350" s="35" t="s">
        <v>401</v>
      </c>
      <c r="D1350" s="36" t="s">
        <v>37</v>
      </c>
      <c r="E1350" s="37" t="s">
        <v>779</v>
      </c>
      <c r="F1350" s="35" t="s">
        <v>411</v>
      </c>
      <c r="G1350" s="7"/>
      <c r="H1350" s="7"/>
      <c r="I1350" s="12"/>
    </row>
    <row r="1351" spans="1:9" ht="38.25" x14ac:dyDescent="0.2">
      <c r="A1351" s="35" t="str">
        <f>HYPERLINK("https://mississippidhs.jamacloud.com/perspective.req?projectId=53&amp;docId=29283","LSRP-SHRQ-1342")</f>
        <v>LSRP-SHRQ-1342</v>
      </c>
      <c r="B1351" s="8" t="s">
        <v>1706</v>
      </c>
      <c r="C1351" s="35" t="s">
        <v>401</v>
      </c>
      <c r="D1351" s="36" t="s">
        <v>37</v>
      </c>
      <c r="E1351" s="37" t="s">
        <v>779</v>
      </c>
      <c r="F1351" s="35" t="s">
        <v>411</v>
      </c>
      <c r="G1351" s="7"/>
      <c r="H1351" s="7"/>
      <c r="I1351" s="12"/>
    </row>
    <row r="1352" spans="1:9" ht="38.25" x14ac:dyDescent="0.2">
      <c r="A1352" s="35" t="str">
        <f>HYPERLINK("https://mississippidhs.jamacloud.com/perspective.req?projectId=53&amp;docId=29284","LSRP-SHRQ-1343")</f>
        <v>LSRP-SHRQ-1343</v>
      </c>
      <c r="B1352" s="8" t="s">
        <v>1707</v>
      </c>
      <c r="C1352" s="35" t="s">
        <v>401</v>
      </c>
      <c r="D1352" s="36" t="s">
        <v>37</v>
      </c>
      <c r="E1352" s="37" t="s">
        <v>779</v>
      </c>
      <c r="F1352" s="35" t="s">
        <v>322</v>
      </c>
      <c r="G1352" s="7"/>
      <c r="H1352" s="7"/>
      <c r="I1352" s="12"/>
    </row>
    <row r="1353" spans="1:9" ht="76.5" x14ac:dyDescent="0.2">
      <c r="A1353" s="35" t="str">
        <f>HYPERLINK("https://mississippidhs.jamacloud.com/perspective.req?projectId=53&amp;docId=29285","LSRP-SHRQ-1344")</f>
        <v>LSRP-SHRQ-1344</v>
      </c>
      <c r="B1353" s="8" t="s">
        <v>1708</v>
      </c>
      <c r="C1353" s="35" t="s">
        <v>401</v>
      </c>
      <c r="D1353" s="36" t="s">
        <v>37</v>
      </c>
      <c r="E1353" s="37" t="s">
        <v>779</v>
      </c>
      <c r="F1353" s="35" t="s">
        <v>322</v>
      </c>
      <c r="G1353" s="7"/>
      <c r="H1353" s="7"/>
      <c r="I1353" s="12"/>
    </row>
    <row r="1354" spans="1:9" ht="38.25" x14ac:dyDescent="0.2">
      <c r="A1354" s="35" t="str">
        <f>HYPERLINK("https://mississippidhs.jamacloud.com/perspective.req?projectId=53&amp;docId=29286","LSRP-SHRQ-1345")</f>
        <v>LSRP-SHRQ-1345</v>
      </c>
      <c r="B1354" s="8" t="s">
        <v>1709</v>
      </c>
      <c r="C1354" s="35" t="s">
        <v>401</v>
      </c>
      <c r="D1354" s="36" t="s">
        <v>37</v>
      </c>
      <c r="E1354" s="37" t="s">
        <v>779</v>
      </c>
      <c r="F1354" s="35" t="s">
        <v>411</v>
      </c>
      <c r="G1354" s="7"/>
      <c r="H1354" s="7"/>
      <c r="I1354" s="12"/>
    </row>
    <row r="1355" spans="1:9" ht="25.5" x14ac:dyDescent="0.2">
      <c r="A1355" s="35" t="str">
        <f>HYPERLINK("https://mississippidhs.jamacloud.com/perspective.req?projectId=53&amp;docId=29287","LSRP-SHRQ-1346")</f>
        <v>LSRP-SHRQ-1346</v>
      </c>
      <c r="B1355" s="8" t="s">
        <v>1710</v>
      </c>
      <c r="C1355" s="35" t="s">
        <v>401</v>
      </c>
      <c r="D1355" s="36" t="s">
        <v>37</v>
      </c>
      <c r="E1355" s="37" t="s">
        <v>779</v>
      </c>
      <c r="F1355" s="35" t="s">
        <v>1036</v>
      </c>
      <c r="G1355" s="7"/>
      <c r="H1355" s="7"/>
      <c r="I1355" s="12"/>
    </row>
    <row r="1356" spans="1:9" ht="25.5" x14ac:dyDescent="0.2">
      <c r="A1356" s="35" t="str">
        <f>HYPERLINK("https://mississippidhs.jamacloud.com/perspective.req?projectId=53&amp;docId=29288","LSRP-SHRQ-1347")</f>
        <v>LSRP-SHRQ-1347</v>
      </c>
      <c r="B1356" s="8" t="s">
        <v>1711</v>
      </c>
      <c r="C1356" s="35" t="s">
        <v>401</v>
      </c>
      <c r="D1356" s="36" t="s">
        <v>37</v>
      </c>
      <c r="E1356" s="37" t="s">
        <v>779</v>
      </c>
      <c r="F1356" s="35" t="s">
        <v>411</v>
      </c>
      <c r="G1356" s="7"/>
      <c r="H1356" s="7"/>
      <c r="I1356" s="12"/>
    </row>
    <row r="1357" spans="1:9" ht="25.5" x14ac:dyDescent="0.2">
      <c r="A1357" s="35" t="str">
        <f>HYPERLINK("https://mississippidhs.jamacloud.com/perspective.req?projectId=53&amp;docId=29289","LSRP-SHRQ-1348")</f>
        <v>LSRP-SHRQ-1348</v>
      </c>
      <c r="B1357" s="8" t="s">
        <v>1712</v>
      </c>
      <c r="C1357" s="35" t="s">
        <v>401</v>
      </c>
      <c r="D1357" s="36" t="s">
        <v>37</v>
      </c>
      <c r="E1357" s="37" t="s">
        <v>779</v>
      </c>
      <c r="F1357" s="35" t="s">
        <v>411</v>
      </c>
      <c r="G1357" s="7"/>
      <c r="H1357" s="7"/>
      <c r="I1357" s="12"/>
    </row>
    <row r="1358" spans="1:9" ht="25.5" x14ac:dyDescent="0.2">
      <c r="A1358" s="35" t="str">
        <f>HYPERLINK("https://mississippidhs.jamacloud.com/perspective.req?projectId=53&amp;docId=29290","LSRP-SHRQ-1349")</f>
        <v>LSRP-SHRQ-1349</v>
      </c>
      <c r="B1358" s="8" t="s">
        <v>1713</v>
      </c>
      <c r="C1358" s="35" t="s">
        <v>401</v>
      </c>
      <c r="D1358" s="36" t="s">
        <v>37</v>
      </c>
      <c r="E1358" s="37" t="s">
        <v>779</v>
      </c>
      <c r="F1358" s="35" t="s">
        <v>411</v>
      </c>
      <c r="G1358" s="7"/>
      <c r="H1358" s="7"/>
      <c r="I1358" s="12"/>
    </row>
    <row r="1359" spans="1:9" ht="14.25" x14ac:dyDescent="0.2">
      <c r="A1359" s="35" t="str">
        <f>HYPERLINK("https://mississippidhs.jamacloud.com/perspective.req?projectId=53&amp;docId=29291","LSRP-SHRQ-1350")</f>
        <v>LSRP-SHRQ-1350</v>
      </c>
      <c r="B1359" s="8" t="s">
        <v>1714</v>
      </c>
      <c r="C1359" s="35" t="s">
        <v>401</v>
      </c>
      <c r="D1359" s="36" t="s">
        <v>37</v>
      </c>
      <c r="E1359" s="37" t="s">
        <v>779</v>
      </c>
      <c r="F1359" s="35" t="s">
        <v>322</v>
      </c>
      <c r="G1359" s="7"/>
      <c r="H1359" s="7"/>
      <c r="I1359" s="12"/>
    </row>
    <row r="1360" spans="1:9" ht="51" x14ac:dyDescent="0.2">
      <c r="A1360" s="35" t="str">
        <f>HYPERLINK("https://mississippidhs.jamacloud.com/perspective.req?projectId=53&amp;docId=29292","LSRP-SHRQ-1351")</f>
        <v>LSRP-SHRQ-1351</v>
      </c>
      <c r="B1360" s="8" t="s">
        <v>1715</v>
      </c>
      <c r="C1360" s="35" t="s">
        <v>401</v>
      </c>
      <c r="D1360" s="36" t="s">
        <v>37</v>
      </c>
      <c r="E1360" s="37" t="s">
        <v>779</v>
      </c>
      <c r="F1360" s="35" t="s">
        <v>322</v>
      </c>
      <c r="G1360" s="7"/>
      <c r="H1360" s="7"/>
      <c r="I1360" s="12"/>
    </row>
    <row r="1361" spans="1:9" ht="38.25" x14ac:dyDescent="0.2">
      <c r="A1361" s="35" t="str">
        <f>HYPERLINK("https://mississippidhs.jamacloud.com/perspective.req?projectId=53&amp;docId=29293","LSRP-SHRQ-1352")</f>
        <v>LSRP-SHRQ-1352</v>
      </c>
      <c r="B1361" s="8" t="s">
        <v>1716</v>
      </c>
      <c r="C1361" s="35" t="s">
        <v>401</v>
      </c>
      <c r="D1361" s="36" t="s">
        <v>37</v>
      </c>
      <c r="E1361" s="37" t="s">
        <v>779</v>
      </c>
      <c r="F1361" s="35" t="s">
        <v>322</v>
      </c>
      <c r="G1361" s="7"/>
      <c r="H1361" s="7"/>
      <c r="I1361" s="12"/>
    </row>
    <row r="1362" spans="1:9" ht="25.5" x14ac:dyDescent="0.2">
      <c r="A1362" s="35" t="str">
        <f>HYPERLINK("https://mississippidhs.jamacloud.com/perspective.req?projectId=53&amp;docId=29294","LSRP-SHRQ-1353")</f>
        <v>LSRP-SHRQ-1353</v>
      </c>
      <c r="B1362" s="8" t="s">
        <v>1717</v>
      </c>
      <c r="C1362" s="35" t="s">
        <v>401</v>
      </c>
      <c r="D1362" s="36" t="s">
        <v>37</v>
      </c>
      <c r="E1362" s="37" t="s">
        <v>779</v>
      </c>
      <c r="F1362" s="35" t="s">
        <v>322</v>
      </c>
      <c r="G1362" s="7"/>
      <c r="H1362" s="7"/>
      <c r="I1362" s="12"/>
    </row>
    <row r="1363" spans="1:9" ht="63.75" x14ac:dyDescent="0.2">
      <c r="A1363" s="35" t="str">
        <f>HYPERLINK("https://mississippidhs.jamacloud.com/perspective.req?projectId=53&amp;docId=29295","LSRP-SHRQ-1354")</f>
        <v>LSRP-SHRQ-1354</v>
      </c>
      <c r="B1363" s="8" t="s">
        <v>1718</v>
      </c>
      <c r="C1363" s="35" t="s">
        <v>401</v>
      </c>
      <c r="D1363" s="36" t="s">
        <v>37</v>
      </c>
      <c r="E1363" s="37" t="s">
        <v>779</v>
      </c>
      <c r="F1363" s="35" t="s">
        <v>322</v>
      </c>
      <c r="G1363" s="7"/>
      <c r="H1363" s="7"/>
      <c r="I1363" s="12"/>
    </row>
    <row r="1364" spans="1:9" ht="38.25" x14ac:dyDescent="0.2">
      <c r="A1364" s="35" t="str">
        <f>HYPERLINK("https://mississippidhs.jamacloud.com/perspective.req?projectId=53&amp;docId=29296","LSRP-SHRQ-1355")</f>
        <v>LSRP-SHRQ-1355</v>
      </c>
      <c r="B1364" s="8" t="s">
        <v>1719</v>
      </c>
      <c r="C1364" s="35" t="s">
        <v>401</v>
      </c>
      <c r="D1364" s="36" t="s">
        <v>37</v>
      </c>
      <c r="E1364" s="37" t="s">
        <v>779</v>
      </c>
      <c r="F1364" s="35" t="s">
        <v>322</v>
      </c>
      <c r="G1364" s="7"/>
      <c r="H1364" s="7"/>
      <c r="I1364" s="12"/>
    </row>
    <row r="1365" spans="1:9" ht="51" x14ac:dyDescent="0.2">
      <c r="A1365" s="35" t="str">
        <f>HYPERLINK("https://mississippidhs.jamacloud.com/perspective.req?projectId=53&amp;docId=29297","LSRP-SHRQ-1356")</f>
        <v>LSRP-SHRQ-1356</v>
      </c>
      <c r="B1365" s="8" t="s">
        <v>1720</v>
      </c>
      <c r="C1365" s="35" t="s">
        <v>401</v>
      </c>
      <c r="D1365" s="36" t="s">
        <v>37</v>
      </c>
      <c r="E1365" s="37" t="s">
        <v>779</v>
      </c>
      <c r="F1365" s="35" t="s">
        <v>322</v>
      </c>
      <c r="G1365" s="7"/>
      <c r="H1365" s="7"/>
      <c r="I1365" s="12"/>
    </row>
    <row r="1366" spans="1:9" ht="38.25" x14ac:dyDescent="0.2">
      <c r="A1366" s="35" t="str">
        <f>HYPERLINK("https://mississippidhs.jamacloud.com/perspective.req?projectId=53&amp;docId=29298","LSRP-SHRQ-1357")</f>
        <v>LSRP-SHRQ-1357</v>
      </c>
      <c r="B1366" s="8" t="s">
        <v>1721</v>
      </c>
      <c r="C1366" s="35" t="s">
        <v>401</v>
      </c>
      <c r="D1366" s="36" t="s">
        <v>37</v>
      </c>
      <c r="E1366" s="37" t="s">
        <v>779</v>
      </c>
      <c r="F1366" s="35" t="s">
        <v>322</v>
      </c>
      <c r="G1366" s="7"/>
      <c r="H1366" s="7"/>
      <c r="I1366" s="12"/>
    </row>
    <row r="1367" spans="1:9" ht="140.25" x14ac:dyDescent="0.2">
      <c r="A1367" s="35" t="str">
        <f>HYPERLINK("https://mississippidhs.jamacloud.com/perspective.req?projectId=53&amp;docId=29299","LSRP-SHRQ-1358")</f>
        <v>LSRP-SHRQ-1358</v>
      </c>
      <c r="B1367" s="8" t="s">
        <v>1722</v>
      </c>
      <c r="C1367" s="35" t="s">
        <v>401</v>
      </c>
      <c r="D1367" s="36" t="s">
        <v>37</v>
      </c>
      <c r="E1367" s="37" t="s">
        <v>779</v>
      </c>
      <c r="F1367" s="35" t="s">
        <v>322</v>
      </c>
      <c r="G1367" s="7"/>
      <c r="H1367" s="7"/>
      <c r="I1367" s="12"/>
    </row>
    <row r="1368" spans="1:9" ht="25.5" x14ac:dyDescent="0.2">
      <c r="A1368" s="35" t="str">
        <f>HYPERLINK("https://mississippidhs.jamacloud.com/perspective.req?projectId=53&amp;docId=29300","LSRP-SHRQ-1359")</f>
        <v>LSRP-SHRQ-1359</v>
      </c>
      <c r="B1368" s="8" t="s">
        <v>1723</v>
      </c>
      <c r="C1368" s="35" t="s">
        <v>401</v>
      </c>
      <c r="D1368" s="36" t="s">
        <v>37</v>
      </c>
      <c r="E1368" s="37" t="s">
        <v>779</v>
      </c>
      <c r="F1368" s="35" t="s">
        <v>322</v>
      </c>
      <c r="G1368" s="7"/>
      <c r="H1368" s="7"/>
      <c r="I1368" s="12"/>
    </row>
    <row r="1369" spans="1:9" ht="25.5" x14ac:dyDescent="0.2">
      <c r="A1369" s="35" t="str">
        <f>HYPERLINK("https://mississippidhs.jamacloud.com/perspective.req?projectId=53&amp;docId=29301","LSRP-SHRQ-1360")</f>
        <v>LSRP-SHRQ-1360</v>
      </c>
      <c r="B1369" s="8" t="s">
        <v>1724</v>
      </c>
      <c r="C1369" s="35" t="s">
        <v>401</v>
      </c>
      <c r="D1369" s="36" t="s">
        <v>37</v>
      </c>
      <c r="E1369" s="37" t="s">
        <v>779</v>
      </c>
      <c r="F1369" s="35" t="s">
        <v>322</v>
      </c>
      <c r="G1369" s="7"/>
      <c r="H1369" s="7"/>
      <c r="I1369" s="12"/>
    </row>
    <row r="1370" spans="1:9" ht="25.5" x14ac:dyDescent="0.2">
      <c r="A1370" s="35" t="str">
        <f>HYPERLINK("https://mississippidhs.jamacloud.com/perspective.req?projectId=53&amp;docId=29302","LSRP-SHRQ-1361")</f>
        <v>LSRP-SHRQ-1361</v>
      </c>
      <c r="B1370" s="8" t="s">
        <v>1725</v>
      </c>
      <c r="C1370" s="35" t="s">
        <v>401</v>
      </c>
      <c r="D1370" s="36" t="s">
        <v>37</v>
      </c>
      <c r="E1370" s="37" t="s">
        <v>779</v>
      </c>
      <c r="F1370" s="35" t="s">
        <v>322</v>
      </c>
      <c r="G1370" s="7"/>
      <c r="H1370" s="7"/>
      <c r="I1370" s="12"/>
    </row>
    <row r="1371" spans="1:9" ht="25.5" x14ac:dyDescent="0.2">
      <c r="A1371" s="35" t="str">
        <f>HYPERLINK("https://mississippidhs.jamacloud.com/perspective.req?projectId=53&amp;docId=29303","LSRP-SHRQ-1362")</f>
        <v>LSRP-SHRQ-1362</v>
      </c>
      <c r="B1371" s="8" t="s">
        <v>1726</v>
      </c>
      <c r="C1371" s="35" t="s">
        <v>401</v>
      </c>
      <c r="D1371" s="36" t="s">
        <v>37</v>
      </c>
      <c r="E1371" s="37" t="s">
        <v>779</v>
      </c>
      <c r="F1371" s="35" t="s">
        <v>322</v>
      </c>
      <c r="G1371" s="7"/>
      <c r="H1371" s="7"/>
      <c r="I1371" s="12"/>
    </row>
    <row r="1372" spans="1:9" ht="25.5" x14ac:dyDescent="0.2">
      <c r="A1372" s="35" t="str">
        <f>HYPERLINK("https://mississippidhs.jamacloud.com/perspective.req?projectId=53&amp;docId=29304","LSRP-SHRQ-1363")</f>
        <v>LSRP-SHRQ-1363</v>
      </c>
      <c r="B1372" s="8" t="s">
        <v>1727</v>
      </c>
      <c r="C1372" s="35" t="s">
        <v>401</v>
      </c>
      <c r="D1372" s="36" t="s">
        <v>37</v>
      </c>
      <c r="E1372" s="37" t="s">
        <v>779</v>
      </c>
      <c r="F1372" s="35" t="s">
        <v>322</v>
      </c>
      <c r="G1372" s="7"/>
      <c r="H1372" s="7"/>
      <c r="I1372" s="12"/>
    </row>
    <row r="1373" spans="1:9" ht="25.5" x14ac:dyDescent="0.2">
      <c r="A1373" s="35" t="str">
        <f>HYPERLINK("https://mississippidhs.jamacloud.com/perspective.req?projectId=53&amp;docId=29305","LSRP-SHRQ-1364")</f>
        <v>LSRP-SHRQ-1364</v>
      </c>
      <c r="B1373" s="8" t="s">
        <v>1728</v>
      </c>
      <c r="C1373" s="35" t="s">
        <v>401</v>
      </c>
      <c r="D1373" s="36" t="s">
        <v>37</v>
      </c>
      <c r="E1373" s="37" t="s">
        <v>779</v>
      </c>
      <c r="F1373" s="35" t="s">
        <v>420</v>
      </c>
      <c r="G1373" s="7"/>
      <c r="H1373" s="7"/>
      <c r="I1373" s="12"/>
    </row>
    <row r="1374" spans="1:9" ht="51" x14ac:dyDescent="0.2">
      <c r="A1374" s="35" t="str">
        <f>HYPERLINK("https://mississippidhs.jamacloud.com/perspective.req?projectId=53&amp;docId=29306","LSRP-SHRQ-1365")</f>
        <v>LSRP-SHRQ-1365</v>
      </c>
      <c r="B1374" s="8" t="s">
        <v>1729</v>
      </c>
      <c r="C1374" s="35" t="s">
        <v>401</v>
      </c>
      <c r="D1374" s="36" t="s">
        <v>37</v>
      </c>
      <c r="E1374" s="37" t="s">
        <v>779</v>
      </c>
      <c r="F1374" s="35" t="s">
        <v>411</v>
      </c>
      <c r="G1374" s="7"/>
      <c r="H1374" s="7"/>
      <c r="I1374" s="12"/>
    </row>
    <row r="1375" spans="1:9" ht="51" x14ac:dyDescent="0.2">
      <c r="A1375" s="35" t="str">
        <f>HYPERLINK("https://mississippidhs.jamacloud.com/perspective.req?projectId=53&amp;docId=29307","LSRP-SHRQ-1366")</f>
        <v>LSRP-SHRQ-1366</v>
      </c>
      <c r="B1375" s="8" t="s">
        <v>1730</v>
      </c>
      <c r="C1375" s="35" t="s">
        <v>401</v>
      </c>
      <c r="D1375" s="36" t="s">
        <v>37</v>
      </c>
      <c r="E1375" s="37" t="s">
        <v>779</v>
      </c>
      <c r="F1375" s="35" t="s">
        <v>1682</v>
      </c>
      <c r="G1375" s="7"/>
      <c r="H1375" s="7"/>
      <c r="I1375" s="12"/>
    </row>
    <row r="1376" spans="1:9" ht="51" x14ac:dyDescent="0.2">
      <c r="A1376" s="35" t="str">
        <f>HYPERLINK("https://mississippidhs.jamacloud.com/perspective.req?projectId=53&amp;docId=29308","LSRP-SHRQ-1367")</f>
        <v>LSRP-SHRQ-1367</v>
      </c>
      <c r="B1376" s="8" t="s">
        <v>1731</v>
      </c>
      <c r="C1376" s="35" t="s">
        <v>401</v>
      </c>
      <c r="D1376" s="36" t="s">
        <v>37</v>
      </c>
      <c r="E1376" s="37" t="s">
        <v>779</v>
      </c>
      <c r="F1376" s="35" t="s">
        <v>1682</v>
      </c>
      <c r="G1376" s="7"/>
      <c r="H1376" s="7"/>
      <c r="I1376" s="12"/>
    </row>
    <row r="1377" spans="1:9" ht="51" x14ac:dyDescent="0.2">
      <c r="A1377" s="35" t="str">
        <f>HYPERLINK("https://mississippidhs.jamacloud.com/perspective.req?projectId=53&amp;docId=29309","LSRP-SHRQ-1368")</f>
        <v>LSRP-SHRQ-1368</v>
      </c>
      <c r="B1377" s="8" t="s">
        <v>1732</v>
      </c>
      <c r="C1377" s="35" t="s">
        <v>401</v>
      </c>
      <c r="D1377" s="36" t="s">
        <v>37</v>
      </c>
      <c r="E1377" s="37" t="s">
        <v>779</v>
      </c>
      <c r="F1377" s="35" t="s">
        <v>422</v>
      </c>
      <c r="G1377" s="7"/>
      <c r="H1377" s="7"/>
      <c r="I1377" s="12"/>
    </row>
    <row r="1378" spans="1:9" ht="14.25" x14ac:dyDescent="0.2">
      <c r="A1378" s="35" t="str">
        <f>HYPERLINK("https://mississippidhs.jamacloud.com/perspective.req?projectId=53&amp;docId=29310","LSRP-SHRQ-1369")</f>
        <v>LSRP-SHRQ-1369</v>
      </c>
      <c r="B1378" s="8" t="s">
        <v>1733</v>
      </c>
      <c r="C1378" s="35" t="s">
        <v>401</v>
      </c>
      <c r="D1378" s="36" t="s">
        <v>37</v>
      </c>
      <c r="E1378" s="37" t="s">
        <v>779</v>
      </c>
      <c r="F1378" s="35" t="s">
        <v>422</v>
      </c>
      <c r="G1378" s="7"/>
      <c r="H1378" s="7"/>
      <c r="I1378" s="12"/>
    </row>
    <row r="1379" spans="1:9" ht="38.25" x14ac:dyDescent="0.2">
      <c r="A1379" s="35" t="str">
        <f>HYPERLINK("https://mississippidhs.jamacloud.com/perspective.req?projectId=53&amp;docId=29311","LSRP-SHRQ-1370")</f>
        <v>LSRP-SHRQ-1370</v>
      </c>
      <c r="B1379" s="8" t="s">
        <v>1734</v>
      </c>
      <c r="C1379" s="35" t="s">
        <v>401</v>
      </c>
      <c r="D1379" s="36" t="s">
        <v>37</v>
      </c>
      <c r="E1379" s="37" t="s">
        <v>779</v>
      </c>
      <c r="F1379" s="35" t="s">
        <v>420</v>
      </c>
      <c r="G1379" s="7"/>
      <c r="H1379" s="7"/>
      <c r="I1379" s="12"/>
    </row>
    <row r="1380" spans="1:9" ht="89.25" x14ac:dyDescent="0.2">
      <c r="A1380" s="35" t="str">
        <f>HYPERLINK("https://mississippidhs.jamacloud.com/perspective.req?projectId=53&amp;docId=29312","LSRP-SHRQ-1371")</f>
        <v>LSRP-SHRQ-1371</v>
      </c>
      <c r="B1380" s="8" t="s">
        <v>1735</v>
      </c>
      <c r="C1380" s="35" t="s">
        <v>401</v>
      </c>
      <c r="D1380" s="36" t="s">
        <v>37</v>
      </c>
      <c r="E1380" s="37" t="s">
        <v>779</v>
      </c>
      <c r="F1380" s="35" t="s">
        <v>420</v>
      </c>
      <c r="G1380" s="7"/>
      <c r="H1380" s="7"/>
      <c r="I1380" s="12"/>
    </row>
    <row r="1381" spans="1:9" ht="51" x14ac:dyDescent="0.2">
      <c r="A1381" s="35" t="str">
        <f>HYPERLINK("https://mississippidhs.jamacloud.com/perspective.req?projectId=53&amp;docId=29313","LSRP-SHRQ-1372")</f>
        <v>LSRP-SHRQ-1372</v>
      </c>
      <c r="B1381" s="8" t="s">
        <v>1736</v>
      </c>
      <c r="C1381" s="35" t="s">
        <v>401</v>
      </c>
      <c r="D1381" s="36" t="s">
        <v>37</v>
      </c>
      <c r="E1381" s="37" t="s">
        <v>779</v>
      </c>
      <c r="F1381" s="35" t="s">
        <v>420</v>
      </c>
      <c r="G1381" s="7"/>
      <c r="H1381" s="7"/>
      <c r="I1381" s="12"/>
    </row>
    <row r="1382" spans="1:9" ht="38.25" x14ac:dyDescent="0.2">
      <c r="A1382" s="35" t="str">
        <f>HYPERLINK("https://mississippidhs.jamacloud.com/perspective.req?projectId=53&amp;docId=29314","LSRP-SHRQ-1373")</f>
        <v>LSRP-SHRQ-1373</v>
      </c>
      <c r="B1382" s="8" t="s">
        <v>1737</v>
      </c>
      <c r="C1382" s="35" t="s">
        <v>401</v>
      </c>
      <c r="D1382" s="36" t="s">
        <v>37</v>
      </c>
      <c r="E1382" s="37" t="s">
        <v>779</v>
      </c>
      <c r="F1382" s="35" t="s">
        <v>411</v>
      </c>
      <c r="G1382" s="7"/>
      <c r="H1382" s="7"/>
      <c r="I1382" s="12"/>
    </row>
    <row r="1383" spans="1:9" ht="14.25" x14ac:dyDescent="0.2">
      <c r="A1383" s="35" t="str">
        <f>HYPERLINK("https://mississippidhs.jamacloud.com/perspective.req?projectId=53&amp;docId=29315","LSRP-SHRQ-1374")</f>
        <v>LSRP-SHRQ-1374</v>
      </c>
      <c r="B1383" s="8" t="s">
        <v>1738</v>
      </c>
      <c r="C1383" s="35" t="s">
        <v>401</v>
      </c>
      <c r="D1383" s="36" t="s">
        <v>37</v>
      </c>
      <c r="E1383" s="37" t="s">
        <v>779</v>
      </c>
      <c r="F1383" s="35" t="s">
        <v>411</v>
      </c>
      <c r="G1383" s="7"/>
      <c r="H1383" s="7"/>
      <c r="I1383" s="12"/>
    </row>
    <row r="1384" spans="1:9" ht="25.5" x14ac:dyDescent="0.2">
      <c r="A1384" s="35" t="str">
        <f>HYPERLINK("https://mississippidhs.jamacloud.com/perspective.req?projectId=53&amp;docId=29316","LSRP-SHRQ-1375")</f>
        <v>LSRP-SHRQ-1375</v>
      </c>
      <c r="B1384" s="8" t="s">
        <v>1739</v>
      </c>
      <c r="C1384" s="35" t="s">
        <v>401</v>
      </c>
      <c r="D1384" s="36" t="s">
        <v>37</v>
      </c>
      <c r="E1384" s="37" t="s">
        <v>779</v>
      </c>
      <c r="F1384" s="35" t="s">
        <v>411</v>
      </c>
      <c r="G1384" s="7"/>
      <c r="H1384" s="7"/>
      <c r="I1384" s="12"/>
    </row>
    <row r="1385" spans="1:9" ht="14.25" x14ac:dyDescent="0.2">
      <c r="A1385" s="35" t="str">
        <f>HYPERLINK("https://mississippidhs.jamacloud.com/perspective.req?projectId=53&amp;docId=29317","LSRP-SHRQ-1376")</f>
        <v>LSRP-SHRQ-1376</v>
      </c>
      <c r="B1385" s="8" t="s">
        <v>1740</v>
      </c>
      <c r="C1385" s="35" t="s">
        <v>401</v>
      </c>
      <c r="D1385" s="36" t="s">
        <v>37</v>
      </c>
      <c r="E1385" s="37" t="s">
        <v>779</v>
      </c>
      <c r="F1385" s="35" t="s">
        <v>411</v>
      </c>
      <c r="G1385" s="7"/>
      <c r="H1385" s="7"/>
      <c r="I1385" s="12"/>
    </row>
    <row r="1386" spans="1:9" ht="14.25" x14ac:dyDescent="0.2">
      <c r="A1386" s="35" t="str">
        <f>HYPERLINK("https://mississippidhs.jamacloud.com/perspective.req?projectId=53&amp;docId=29318","LSRP-SHRQ-1377")</f>
        <v>LSRP-SHRQ-1377</v>
      </c>
      <c r="B1386" s="8" t="s">
        <v>1741</v>
      </c>
      <c r="C1386" s="35" t="s">
        <v>401</v>
      </c>
      <c r="D1386" s="36" t="s">
        <v>37</v>
      </c>
      <c r="E1386" s="37" t="s">
        <v>779</v>
      </c>
      <c r="F1386" s="35" t="s">
        <v>411</v>
      </c>
      <c r="G1386" s="7"/>
      <c r="H1386" s="7"/>
      <c r="I1386" s="12"/>
    </row>
    <row r="1387" spans="1:9" ht="63.75" x14ac:dyDescent="0.2">
      <c r="A1387" s="35" t="str">
        <f>HYPERLINK("https://mississippidhs.jamacloud.com/perspective.req?projectId=53&amp;docId=29319","LSRP-SHRQ-1378")</f>
        <v>LSRP-SHRQ-1378</v>
      </c>
      <c r="B1387" s="8" t="s">
        <v>1742</v>
      </c>
      <c r="C1387" s="35" t="s">
        <v>401</v>
      </c>
      <c r="D1387" s="36" t="s">
        <v>37</v>
      </c>
      <c r="E1387" s="37" t="s">
        <v>779</v>
      </c>
      <c r="F1387" s="35" t="s">
        <v>411</v>
      </c>
      <c r="G1387" s="7"/>
      <c r="H1387" s="7"/>
      <c r="I1387" s="12"/>
    </row>
    <row r="1388" spans="1:9" ht="25.5" x14ac:dyDescent="0.2">
      <c r="A1388" s="35" t="str">
        <f>HYPERLINK("https://mississippidhs.jamacloud.com/perspective.req?projectId=53&amp;docId=29320","LSRP-SHRQ-1379")</f>
        <v>LSRP-SHRQ-1379</v>
      </c>
      <c r="B1388" s="8" t="s">
        <v>1743</v>
      </c>
      <c r="C1388" s="35" t="s">
        <v>401</v>
      </c>
      <c r="D1388" s="36" t="s">
        <v>37</v>
      </c>
      <c r="E1388" s="37" t="s">
        <v>779</v>
      </c>
      <c r="F1388" s="35" t="s">
        <v>411</v>
      </c>
      <c r="G1388" s="7"/>
      <c r="H1388" s="7"/>
      <c r="I1388" s="12"/>
    </row>
    <row r="1389" spans="1:9" ht="38.25" x14ac:dyDescent="0.2">
      <c r="A1389" s="35" t="str">
        <f>HYPERLINK("https://mississippidhs.jamacloud.com/perspective.req?projectId=53&amp;docId=29321","LSRP-SHRQ-1380")</f>
        <v>LSRP-SHRQ-1380</v>
      </c>
      <c r="B1389" s="8" t="s">
        <v>1744</v>
      </c>
      <c r="C1389" s="35" t="s">
        <v>401</v>
      </c>
      <c r="D1389" s="36" t="s">
        <v>37</v>
      </c>
      <c r="E1389" s="37" t="s">
        <v>779</v>
      </c>
      <c r="F1389" s="35" t="s">
        <v>411</v>
      </c>
      <c r="G1389" s="7"/>
      <c r="H1389" s="7"/>
      <c r="I1389" s="12"/>
    </row>
    <row r="1390" spans="1:9" ht="38.25" x14ac:dyDescent="0.2">
      <c r="A1390" s="35" t="str">
        <f>HYPERLINK("https://mississippidhs.jamacloud.com/perspective.req?projectId=53&amp;docId=29322","LSRP-SHRQ-1381")</f>
        <v>LSRP-SHRQ-1381</v>
      </c>
      <c r="B1390" s="8" t="s">
        <v>1745</v>
      </c>
      <c r="C1390" s="35" t="s">
        <v>401</v>
      </c>
      <c r="D1390" s="36" t="s">
        <v>37</v>
      </c>
      <c r="E1390" s="37" t="s">
        <v>779</v>
      </c>
      <c r="F1390" s="35" t="s">
        <v>411</v>
      </c>
      <c r="G1390" s="7"/>
      <c r="H1390" s="7"/>
      <c r="I1390" s="12"/>
    </row>
    <row r="1391" spans="1:9" ht="76.5" x14ac:dyDescent="0.2">
      <c r="A1391" s="35" t="str">
        <f>HYPERLINK("https://mississippidhs.jamacloud.com/perspective.req?projectId=53&amp;docId=29323","LSRP-SHRQ-1382")</f>
        <v>LSRP-SHRQ-1382</v>
      </c>
      <c r="B1391" s="8" t="s">
        <v>1746</v>
      </c>
      <c r="C1391" s="35" t="s">
        <v>401</v>
      </c>
      <c r="D1391" s="36" t="s">
        <v>37</v>
      </c>
      <c r="E1391" s="37" t="s">
        <v>779</v>
      </c>
      <c r="F1391" s="35" t="s">
        <v>322</v>
      </c>
      <c r="G1391" s="7"/>
      <c r="H1391" s="7"/>
      <c r="I1391" s="12"/>
    </row>
    <row r="1392" spans="1:9" ht="25.5" x14ac:dyDescent="0.2">
      <c r="A1392" s="35" t="str">
        <f>HYPERLINK("https://mississippidhs.jamacloud.com/perspective.req?projectId=53&amp;docId=29324","LSRP-SHRQ-1383")</f>
        <v>LSRP-SHRQ-1383</v>
      </c>
      <c r="B1392" s="8" t="s">
        <v>1747</v>
      </c>
      <c r="C1392" s="35" t="s">
        <v>401</v>
      </c>
      <c r="D1392" s="36" t="s">
        <v>37</v>
      </c>
      <c r="E1392" s="37" t="s">
        <v>779</v>
      </c>
      <c r="F1392" s="35" t="s">
        <v>322</v>
      </c>
      <c r="G1392" s="7"/>
      <c r="H1392" s="7"/>
      <c r="I1392" s="12"/>
    </row>
    <row r="1393" spans="1:9" ht="25.5" x14ac:dyDescent="0.2">
      <c r="A1393" s="35" t="str">
        <f>HYPERLINK("https://mississippidhs.jamacloud.com/perspective.req?projectId=53&amp;docId=29325","LSRP-SHRQ-1384")</f>
        <v>LSRP-SHRQ-1384</v>
      </c>
      <c r="B1393" s="8" t="s">
        <v>1748</v>
      </c>
      <c r="C1393" s="35" t="s">
        <v>401</v>
      </c>
      <c r="D1393" s="36" t="s">
        <v>37</v>
      </c>
      <c r="E1393" s="37" t="s">
        <v>779</v>
      </c>
      <c r="F1393" s="35" t="s">
        <v>322</v>
      </c>
      <c r="G1393" s="7"/>
      <c r="H1393" s="7"/>
      <c r="I1393" s="12"/>
    </row>
    <row r="1394" spans="1:9" ht="38.25" x14ac:dyDescent="0.2">
      <c r="A1394" s="35" t="str">
        <f>HYPERLINK("https://mississippidhs.jamacloud.com/perspective.req?projectId=53&amp;docId=29326","LSRP-SHRQ-1385")</f>
        <v>LSRP-SHRQ-1385</v>
      </c>
      <c r="B1394" s="8" t="s">
        <v>1749</v>
      </c>
      <c r="C1394" s="35" t="s">
        <v>401</v>
      </c>
      <c r="D1394" s="36" t="s">
        <v>37</v>
      </c>
      <c r="E1394" s="37" t="s">
        <v>779</v>
      </c>
      <c r="F1394" s="35" t="s">
        <v>322</v>
      </c>
      <c r="G1394" s="7"/>
      <c r="H1394" s="7"/>
      <c r="I1394" s="12"/>
    </row>
    <row r="1395" spans="1:9" ht="25.5" x14ac:dyDescent="0.2">
      <c r="A1395" s="35" t="str">
        <f>HYPERLINK("https://mississippidhs.jamacloud.com/perspective.req?projectId=53&amp;docId=29327","LSRP-SHRQ-1386")</f>
        <v>LSRP-SHRQ-1386</v>
      </c>
      <c r="B1395" s="8" t="s">
        <v>1750</v>
      </c>
      <c r="C1395" s="35" t="s">
        <v>401</v>
      </c>
      <c r="D1395" s="36" t="s">
        <v>37</v>
      </c>
      <c r="E1395" s="37" t="s">
        <v>779</v>
      </c>
      <c r="F1395" s="35" t="s">
        <v>322</v>
      </c>
      <c r="G1395" s="7"/>
      <c r="H1395" s="7"/>
      <c r="I1395" s="12"/>
    </row>
    <row r="1396" spans="1:9" ht="25.5" x14ac:dyDescent="0.2">
      <c r="A1396" s="35" t="str">
        <f>HYPERLINK("https://mississippidhs.jamacloud.com/perspective.req?projectId=53&amp;docId=29328","LSRP-SHRQ-1387")</f>
        <v>LSRP-SHRQ-1387</v>
      </c>
      <c r="B1396" s="8" t="s">
        <v>1751</v>
      </c>
      <c r="C1396" s="35" t="s">
        <v>401</v>
      </c>
      <c r="D1396" s="36" t="s">
        <v>37</v>
      </c>
      <c r="E1396" s="37" t="s">
        <v>779</v>
      </c>
      <c r="F1396" s="35" t="s">
        <v>322</v>
      </c>
      <c r="G1396" s="7"/>
      <c r="H1396" s="7"/>
      <c r="I1396" s="12"/>
    </row>
    <row r="1397" spans="1:9" ht="25.5" x14ac:dyDescent="0.2">
      <c r="A1397" s="35" t="str">
        <f>HYPERLINK("https://mississippidhs.jamacloud.com/perspective.req?projectId=53&amp;docId=29329","LSRP-SHRQ-1388")</f>
        <v>LSRP-SHRQ-1388</v>
      </c>
      <c r="B1397" s="8" t="s">
        <v>1752</v>
      </c>
      <c r="C1397" s="35" t="s">
        <v>401</v>
      </c>
      <c r="D1397" s="36" t="s">
        <v>37</v>
      </c>
      <c r="E1397" s="37" t="s">
        <v>779</v>
      </c>
      <c r="F1397" s="35" t="s">
        <v>322</v>
      </c>
      <c r="G1397" s="7"/>
      <c r="H1397" s="7"/>
      <c r="I1397" s="12"/>
    </row>
    <row r="1398" spans="1:9" ht="25.5" x14ac:dyDescent="0.2">
      <c r="A1398" s="35" t="str">
        <f>HYPERLINK("https://mississippidhs.jamacloud.com/perspective.req?projectId=53&amp;docId=29330","LSRP-SHRQ-1389")</f>
        <v>LSRP-SHRQ-1389</v>
      </c>
      <c r="B1398" s="8" t="s">
        <v>1753</v>
      </c>
      <c r="C1398" s="35" t="s">
        <v>401</v>
      </c>
      <c r="D1398" s="36" t="s">
        <v>37</v>
      </c>
      <c r="E1398" s="37" t="s">
        <v>779</v>
      </c>
      <c r="F1398" s="35" t="s">
        <v>322</v>
      </c>
      <c r="G1398" s="7"/>
      <c r="H1398" s="7"/>
      <c r="I1398" s="12"/>
    </row>
    <row r="1399" spans="1:9" ht="25.5" x14ac:dyDescent="0.2">
      <c r="A1399" s="35" t="str">
        <f>HYPERLINK("https://mississippidhs.jamacloud.com/perspective.req?projectId=53&amp;docId=29331","LSRP-SHRQ-1390")</f>
        <v>LSRP-SHRQ-1390</v>
      </c>
      <c r="B1399" s="8" t="s">
        <v>1754</v>
      </c>
      <c r="C1399" s="35" t="s">
        <v>401</v>
      </c>
      <c r="D1399" s="36" t="s">
        <v>37</v>
      </c>
      <c r="E1399" s="37" t="s">
        <v>779</v>
      </c>
      <c r="F1399" s="35" t="s">
        <v>322</v>
      </c>
      <c r="G1399" s="7"/>
      <c r="H1399" s="7"/>
      <c r="I1399" s="12"/>
    </row>
    <row r="1400" spans="1:9" ht="25.5" x14ac:dyDescent="0.2">
      <c r="A1400" s="35" t="str">
        <f>HYPERLINK("https://mississippidhs.jamacloud.com/perspective.req?projectId=53&amp;docId=29332","LSRP-SHRQ-1391")</f>
        <v>LSRP-SHRQ-1391</v>
      </c>
      <c r="B1400" s="8" t="s">
        <v>1755</v>
      </c>
      <c r="C1400" s="35" t="s">
        <v>401</v>
      </c>
      <c r="D1400" s="36" t="s">
        <v>37</v>
      </c>
      <c r="E1400" s="37" t="s">
        <v>779</v>
      </c>
      <c r="F1400" s="35" t="s">
        <v>322</v>
      </c>
      <c r="G1400" s="7"/>
      <c r="H1400" s="7"/>
      <c r="I1400" s="12"/>
    </row>
    <row r="1401" spans="1:9" ht="51" x14ac:dyDescent="0.2">
      <c r="A1401" s="35" t="str">
        <f>HYPERLINK("https://mississippidhs.jamacloud.com/perspective.req?projectId=53&amp;docId=29333","LSRP-SHRQ-1392")</f>
        <v>LSRP-SHRQ-1392</v>
      </c>
      <c r="B1401" s="8" t="s">
        <v>1756</v>
      </c>
      <c r="C1401" s="35" t="s">
        <v>401</v>
      </c>
      <c r="D1401" s="36" t="s">
        <v>37</v>
      </c>
      <c r="E1401" s="37" t="s">
        <v>779</v>
      </c>
      <c r="F1401" s="35" t="s">
        <v>322</v>
      </c>
      <c r="G1401" s="7"/>
      <c r="H1401" s="7"/>
      <c r="I1401" s="12"/>
    </row>
    <row r="1402" spans="1:9" ht="38.25" x14ac:dyDescent="0.2">
      <c r="A1402" s="35" t="str">
        <f>HYPERLINK("https://mississippidhs.jamacloud.com/perspective.req?projectId=53&amp;docId=29334","LSRP-SHRQ-1393")</f>
        <v>LSRP-SHRQ-1393</v>
      </c>
      <c r="B1402" s="8" t="s">
        <v>1757</v>
      </c>
      <c r="C1402" s="35" t="s">
        <v>401</v>
      </c>
      <c r="D1402" s="36" t="s">
        <v>37</v>
      </c>
      <c r="E1402" s="37" t="s">
        <v>779</v>
      </c>
      <c r="F1402" s="35" t="s">
        <v>322</v>
      </c>
      <c r="G1402" s="7"/>
      <c r="H1402" s="7"/>
      <c r="I1402" s="12"/>
    </row>
    <row r="1403" spans="1:9" ht="38.25" x14ac:dyDescent="0.2">
      <c r="A1403" s="35" t="str">
        <f>HYPERLINK("https://mississippidhs.jamacloud.com/perspective.req?projectId=53&amp;docId=29335","LSRP-SHRQ-1394")</f>
        <v>LSRP-SHRQ-1394</v>
      </c>
      <c r="B1403" s="8" t="s">
        <v>1758</v>
      </c>
      <c r="C1403" s="35" t="s">
        <v>401</v>
      </c>
      <c r="D1403" s="36" t="s">
        <v>37</v>
      </c>
      <c r="E1403" s="37" t="s">
        <v>779</v>
      </c>
      <c r="F1403" s="35" t="s">
        <v>322</v>
      </c>
      <c r="G1403" s="7"/>
      <c r="H1403" s="7"/>
      <c r="I1403" s="12"/>
    </row>
    <row r="1404" spans="1:9" ht="38.25" x14ac:dyDescent="0.2">
      <c r="A1404" s="35" t="str">
        <f>HYPERLINK("https://mississippidhs.jamacloud.com/perspective.req?projectId=53&amp;docId=29336","LSRP-SHRQ-1395")</f>
        <v>LSRP-SHRQ-1395</v>
      </c>
      <c r="B1404" s="8" t="s">
        <v>1759</v>
      </c>
      <c r="C1404" s="35" t="s">
        <v>401</v>
      </c>
      <c r="D1404" s="36" t="s">
        <v>37</v>
      </c>
      <c r="E1404" s="37" t="s">
        <v>779</v>
      </c>
      <c r="F1404" s="35" t="s">
        <v>322</v>
      </c>
      <c r="G1404" s="7"/>
      <c r="H1404" s="7"/>
      <c r="I1404" s="12"/>
    </row>
    <row r="1405" spans="1:9" ht="38.25" x14ac:dyDescent="0.2">
      <c r="A1405" s="35" t="str">
        <f>HYPERLINK("https://mississippidhs.jamacloud.com/perspective.req?projectId=53&amp;docId=29337","LSRP-SHRQ-1396")</f>
        <v>LSRP-SHRQ-1396</v>
      </c>
      <c r="B1405" s="8" t="s">
        <v>1760</v>
      </c>
      <c r="C1405" s="35" t="s">
        <v>401</v>
      </c>
      <c r="D1405" s="36" t="s">
        <v>37</v>
      </c>
      <c r="E1405" s="37" t="s">
        <v>779</v>
      </c>
      <c r="F1405" s="35" t="s">
        <v>322</v>
      </c>
      <c r="G1405" s="7"/>
      <c r="H1405" s="7"/>
      <c r="I1405" s="12"/>
    </row>
    <row r="1406" spans="1:9" ht="38.25" x14ac:dyDescent="0.2">
      <c r="A1406" s="35" t="str">
        <f>HYPERLINK("https://mississippidhs.jamacloud.com/perspective.req?projectId=53&amp;docId=29338","LSRP-SHRQ-1397")</f>
        <v>LSRP-SHRQ-1397</v>
      </c>
      <c r="B1406" s="8" t="s">
        <v>1761</v>
      </c>
      <c r="C1406" s="35" t="s">
        <v>401</v>
      </c>
      <c r="D1406" s="36" t="s">
        <v>37</v>
      </c>
      <c r="E1406" s="37" t="s">
        <v>779</v>
      </c>
      <c r="F1406" s="35" t="s">
        <v>322</v>
      </c>
      <c r="G1406" s="7"/>
      <c r="H1406" s="7"/>
      <c r="I1406" s="12"/>
    </row>
    <row r="1407" spans="1:9" ht="51" x14ac:dyDescent="0.2">
      <c r="A1407" s="35" t="str">
        <f>HYPERLINK("https://mississippidhs.jamacloud.com/perspective.req?projectId=53&amp;docId=29339","LSRP-SHRQ-1398")</f>
        <v>LSRP-SHRQ-1398</v>
      </c>
      <c r="B1407" s="8" t="s">
        <v>1762</v>
      </c>
      <c r="C1407" s="35" t="s">
        <v>401</v>
      </c>
      <c r="D1407" s="36" t="s">
        <v>37</v>
      </c>
      <c r="E1407" s="37" t="s">
        <v>779</v>
      </c>
      <c r="F1407" s="35" t="s">
        <v>411</v>
      </c>
      <c r="G1407" s="7"/>
      <c r="H1407" s="7"/>
      <c r="I1407" s="12"/>
    </row>
    <row r="1408" spans="1:9" ht="51" x14ac:dyDescent="0.2">
      <c r="A1408" s="35" t="str">
        <f>HYPERLINK("https://mississippidhs.jamacloud.com/perspective.req?projectId=53&amp;docId=29340","LSRP-SHRQ-1399")</f>
        <v>LSRP-SHRQ-1399</v>
      </c>
      <c r="B1408" s="8" t="s">
        <v>1763</v>
      </c>
      <c r="C1408" s="35" t="s">
        <v>401</v>
      </c>
      <c r="D1408" s="36" t="s">
        <v>37</v>
      </c>
      <c r="E1408" s="37" t="s">
        <v>779</v>
      </c>
      <c r="F1408" s="35" t="s">
        <v>411</v>
      </c>
      <c r="G1408" s="7"/>
      <c r="H1408" s="7"/>
      <c r="I1408" s="12"/>
    </row>
    <row r="1409" spans="1:9" ht="38.25" x14ac:dyDescent="0.2">
      <c r="A1409" s="35" t="str">
        <f>HYPERLINK("https://mississippidhs.jamacloud.com/perspective.req?projectId=53&amp;docId=29341","LSRP-SHRQ-1400")</f>
        <v>LSRP-SHRQ-1400</v>
      </c>
      <c r="B1409" s="8" t="s">
        <v>1764</v>
      </c>
      <c r="C1409" s="35" t="s">
        <v>401</v>
      </c>
      <c r="D1409" s="36" t="s">
        <v>37</v>
      </c>
      <c r="E1409" s="37" t="s">
        <v>779</v>
      </c>
      <c r="F1409" s="35" t="s">
        <v>322</v>
      </c>
      <c r="G1409" s="7"/>
      <c r="H1409" s="7"/>
      <c r="I1409" s="12"/>
    </row>
    <row r="1410" spans="1:9" ht="51" x14ac:dyDescent="0.2">
      <c r="A1410" s="35" t="str">
        <f>HYPERLINK("https://mississippidhs.jamacloud.com/perspective.req?projectId=53&amp;docId=29342","LSRP-SHRQ-1401")</f>
        <v>LSRP-SHRQ-1401</v>
      </c>
      <c r="B1410" s="8" t="s">
        <v>1765</v>
      </c>
      <c r="C1410" s="35" t="s">
        <v>401</v>
      </c>
      <c r="D1410" s="36" t="s">
        <v>37</v>
      </c>
      <c r="E1410" s="37" t="s">
        <v>779</v>
      </c>
      <c r="F1410" s="35" t="s">
        <v>322</v>
      </c>
      <c r="G1410" s="7"/>
      <c r="H1410" s="7"/>
      <c r="I1410" s="12"/>
    </row>
    <row r="1411" spans="1:9" ht="51" x14ac:dyDescent="0.2">
      <c r="A1411" s="35" t="str">
        <f>HYPERLINK("https://mississippidhs.jamacloud.com/perspective.req?projectId=53&amp;docId=29343","LSRP-SHRQ-1402")</f>
        <v>LSRP-SHRQ-1402</v>
      </c>
      <c r="B1411" s="8" t="s">
        <v>1766</v>
      </c>
      <c r="C1411" s="35" t="s">
        <v>401</v>
      </c>
      <c r="D1411" s="36" t="s">
        <v>37</v>
      </c>
      <c r="E1411" s="37" t="s">
        <v>779</v>
      </c>
      <c r="F1411" s="35" t="s">
        <v>322</v>
      </c>
      <c r="G1411" s="7"/>
      <c r="H1411" s="7"/>
      <c r="I1411" s="12"/>
    </row>
    <row r="1412" spans="1:9" ht="63.75" x14ac:dyDescent="0.2">
      <c r="A1412" s="35" t="str">
        <f>HYPERLINK("https://mississippidhs.jamacloud.com/perspective.req?projectId=53&amp;docId=29344","LSRP-SHRQ-1403")</f>
        <v>LSRP-SHRQ-1403</v>
      </c>
      <c r="B1412" s="8" t="s">
        <v>1767</v>
      </c>
      <c r="C1412" s="35" t="s">
        <v>401</v>
      </c>
      <c r="D1412" s="36" t="s">
        <v>37</v>
      </c>
      <c r="E1412" s="37" t="s">
        <v>779</v>
      </c>
      <c r="F1412" s="35" t="s">
        <v>411</v>
      </c>
      <c r="G1412" s="7"/>
      <c r="H1412" s="7"/>
      <c r="I1412" s="12"/>
    </row>
    <row r="1413" spans="1:9" ht="38.25" x14ac:dyDescent="0.2">
      <c r="A1413" s="35" t="str">
        <f>HYPERLINK("https://mississippidhs.jamacloud.com/perspective.req?projectId=53&amp;docId=29345","LSRP-SHRQ-1404")</f>
        <v>LSRP-SHRQ-1404</v>
      </c>
      <c r="B1413" s="8" t="s">
        <v>1768</v>
      </c>
      <c r="C1413" s="35" t="s">
        <v>401</v>
      </c>
      <c r="D1413" s="36" t="s">
        <v>37</v>
      </c>
      <c r="E1413" s="37" t="s">
        <v>779</v>
      </c>
      <c r="F1413" s="35" t="s">
        <v>420</v>
      </c>
      <c r="G1413" s="7"/>
      <c r="H1413" s="7"/>
      <c r="I1413" s="12"/>
    </row>
    <row r="1414" spans="1:9" ht="89.25" x14ac:dyDescent="0.2">
      <c r="A1414" s="35" t="str">
        <f>HYPERLINK("https://mississippidhs.jamacloud.com/perspective.req?projectId=53&amp;docId=29346","LSRP-SHRQ-1405")</f>
        <v>LSRP-SHRQ-1405</v>
      </c>
      <c r="B1414" s="8" t="s">
        <v>1769</v>
      </c>
      <c r="C1414" s="35" t="s">
        <v>401</v>
      </c>
      <c r="D1414" s="36" t="s">
        <v>37</v>
      </c>
      <c r="E1414" s="37" t="s">
        <v>779</v>
      </c>
      <c r="F1414" s="35" t="s">
        <v>411</v>
      </c>
      <c r="G1414" s="7"/>
      <c r="H1414" s="7"/>
      <c r="I1414" s="12"/>
    </row>
    <row r="1415" spans="1:9" ht="38.25" x14ac:dyDescent="0.2">
      <c r="A1415" s="35" t="str">
        <f>HYPERLINK("https://mississippidhs.jamacloud.com/perspective.req?projectId=53&amp;docId=29347","LSRP-SHRQ-1406")</f>
        <v>LSRP-SHRQ-1406</v>
      </c>
      <c r="B1415" s="8" t="s">
        <v>1770</v>
      </c>
      <c r="C1415" s="35" t="s">
        <v>401</v>
      </c>
      <c r="D1415" s="36" t="s">
        <v>37</v>
      </c>
      <c r="E1415" s="37" t="s">
        <v>779</v>
      </c>
      <c r="F1415" s="35" t="s">
        <v>411</v>
      </c>
      <c r="G1415" s="7"/>
      <c r="H1415" s="7"/>
      <c r="I1415" s="12"/>
    </row>
    <row r="1416" spans="1:9" ht="76.5" x14ac:dyDescent="0.2">
      <c r="A1416" s="35" t="str">
        <f>HYPERLINK("https://mississippidhs.jamacloud.com/perspective.req?projectId=53&amp;docId=29348","LSRP-SHRQ-1407")</f>
        <v>LSRP-SHRQ-1407</v>
      </c>
      <c r="B1416" s="8" t="s">
        <v>1771</v>
      </c>
      <c r="C1416" s="35" t="s">
        <v>401</v>
      </c>
      <c r="D1416" s="36" t="s">
        <v>37</v>
      </c>
      <c r="E1416" s="37" t="s">
        <v>779</v>
      </c>
      <c r="F1416" s="35" t="s">
        <v>411</v>
      </c>
      <c r="G1416" s="7"/>
      <c r="H1416" s="7"/>
      <c r="I1416" s="12"/>
    </row>
    <row r="1417" spans="1:9" ht="63.75" x14ac:dyDescent="0.2">
      <c r="A1417" s="35" t="str">
        <f>HYPERLINK("https://mississippidhs.jamacloud.com/perspective.req?projectId=53&amp;docId=29349","LSRP-SHRQ-1408")</f>
        <v>LSRP-SHRQ-1408</v>
      </c>
      <c r="B1417" s="8" t="s">
        <v>1772</v>
      </c>
      <c r="C1417" s="35" t="s">
        <v>401</v>
      </c>
      <c r="D1417" s="36" t="s">
        <v>37</v>
      </c>
      <c r="E1417" s="37" t="s">
        <v>779</v>
      </c>
      <c r="F1417" s="35" t="s">
        <v>411</v>
      </c>
      <c r="G1417" s="7"/>
      <c r="H1417" s="7"/>
      <c r="I1417" s="12"/>
    </row>
    <row r="1418" spans="1:9" ht="25.5" x14ac:dyDescent="0.2">
      <c r="A1418" s="35" t="str">
        <f>HYPERLINK("https://mississippidhs.jamacloud.com/perspective.req?projectId=53&amp;docId=29350","LSRP-SHRQ-1409")</f>
        <v>LSRP-SHRQ-1409</v>
      </c>
      <c r="B1418" s="8" t="s">
        <v>1773</v>
      </c>
      <c r="C1418" s="35" t="s">
        <v>401</v>
      </c>
      <c r="D1418" s="36" t="s">
        <v>37</v>
      </c>
      <c r="E1418" s="37" t="s">
        <v>779</v>
      </c>
      <c r="F1418" s="35" t="s">
        <v>411</v>
      </c>
      <c r="G1418" s="7"/>
      <c r="H1418" s="7"/>
      <c r="I1418" s="12"/>
    </row>
    <row r="1419" spans="1:9" ht="38.25" x14ac:dyDescent="0.2">
      <c r="A1419" s="35" t="str">
        <f>HYPERLINK("https://mississippidhs.jamacloud.com/perspective.req?projectId=53&amp;docId=29351","LSRP-SHRQ-1410")</f>
        <v>LSRP-SHRQ-1410</v>
      </c>
      <c r="B1419" s="8" t="s">
        <v>1774</v>
      </c>
      <c r="C1419" s="35" t="s">
        <v>401</v>
      </c>
      <c r="D1419" s="36" t="s">
        <v>37</v>
      </c>
      <c r="E1419" s="37" t="s">
        <v>779</v>
      </c>
      <c r="F1419" s="35" t="s">
        <v>411</v>
      </c>
      <c r="G1419" s="7"/>
      <c r="H1419" s="7"/>
      <c r="I1419" s="12"/>
    </row>
    <row r="1420" spans="1:9" ht="63.75" x14ac:dyDescent="0.2">
      <c r="A1420" s="35" t="str">
        <f>HYPERLINK("https://mississippidhs.jamacloud.com/perspective.req?projectId=53&amp;docId=29352","LSRP-SHRQ-1411")</f>
        <v>LSRP-SHRQ-1411</v>
      </c>
      <c r="B1420" s="8" t="s">
        <v>1775</v>
      </c>
      <c r="C1420" s="35" t="s">
        <v>401</v>
      </c>
      <c r="D1420" s="36" t="s">
        <v>37</v>
      </c>
      <c r="E1420" s="37" t="s">
        <v>779</v>
      </c>
      <c r="F1420" s="35" t="s">
        <v>411</v>
      </c>
      <c r="G1420" s="7"/>
      <c r="H1420" s="7"/>
      <c r="I1420" s="12"/>
    </row>
    <row r="1421" spans="1:9" ht="25.5" x14ac:dyDescent="0.2">
      <c r="A1421" s="35" t="str">
        <f>HYPERLINK("https://mississippidhs.jamacloud.com/perspective.req?projectId=53&amp;docId=29353","LSRP-SHRQ-1412")</f>
        <v>LSRP-SHRQ-1412</v>
      </c>
      <c r="B1421" s="8" t="s">
        <v>1776</v>
      </c>
      <c r="C1421" s="35" t="s">
        <v>401</v>
      </c>
      <c r="D1421" s="36" t="s">
        <v>37</v>
      </c>
      <c r="E1421" s="37" t="s">
        <v>779</v>
      </c>
      <c r="F1421" s="35" t="s">
        <v>411</v>
      </c>
      <c r="G1421" s="7"/>
      <c r="H1421" s="7"/>
      <c r="I1421" s="12"/>
    </row>
    <row r="1422" spans="1:9" ht="38.25" x14ac:dyDescent="0.2">
      <c r="A1422" s="35" t="str">
        <f>HYPERLINK("https://mississippidhs.jamacloud.com/perspective.req?projectId=53&amp;docId=29354","LSRP-SHRQ-1413")</f>
        <v>LSRP-SHRQ-1413</v>
      </c>
      <c r="B1422" s="8" t="s">
        <v>1777</v>
      </c>
      <c r="C1422" s="35" t="s">
        <v>401</v>
      </c>
      <c r="D1422" s="36" t="s">
        <v>37</v>
      </c>
      <c r="E1422" s="37" t="s">
        <v>779</v>
      </c>
      <c r="F1422" s="35" t="s">
        <v>411</v>
      </c>
      <c r="G1422" s="7"/>
      <c r="H1422" s="7"/>
      <c r="I1422" s="12"/>
    </row>
    <row r="1423" spans="1:9" ht="25.5" x14ac:dyDescent="0.2">
      <c r="A1423" s="35" t="str">
        <f>HYPERLINK("https://mississippidhs.jamacloud.com/perspective.req?projectId=53&amp;docId=29355","LSRP-SHRQ-1414")</f>
        <v>LSRP-SHRQ-1414</v>
      </c>
      <c r="B1423" s="8" t="s">
        <v>1778</v>
      </c>
      <c r="C1423" s="35" t="s">
        <v>401</v>
      </c>
      <c r="D1423" s="36" t="s">
        <v>37</v>
      </c>
      <c r="E1423" s="37" t="s">
        <v>779</v>
      </c>
      <c r="F1423" s="35" t="s">
        <v>411</v>
      </c>
      <c r="G1423" s="7"/>
      <c r="H1423" s="7"/>
      <c r="I1423" s="12"/>
    </row>
    <row r="1424" spans="1:9" ht="25.5" x14ac:dyDescent="0.2">
      <c r="A1424" s="35" t="str">
        <f>HYPERLINK("https://mississippidhs.jamacloud.com/perspective.req?projectId=53&amp;docId=29356","LSRP-SHRQ-1415")</f>
        <v>LSRP-SHRQ-1415</v>
      </c>
      <c r="B1424" s="8" t="s">
        <v>1779</v>
      </c>
      <c r="C1424" s="35" t="s">
        <v>401</v>
      </c>
      <c r="D1424" s="36" t="s">
        <v>37</v>
      </c>
      <c r="E1424" s="37" t="s">
        <v>779</v>
      </c>
      <c r="F1424" s="35" t="s">
        <v>322</v>
      </c>
      <c r="G1424" s="7"/>
      <c r="H1424" s="7"/>
      <c r="I1424" s="12"/>
    </row>
    <row r="1425" spans="1:9" ht="38.25" x14ac:dyDescent="0.2">
      <c r="A1425" s="35" t="str">
        <f>HYPERLINK("https://mississippidhs.jamacloud.com/perspective.req?projectId=53&amp;docId=29357","LSRP-SHRQ-1416")</f>
        <v>LSRP-SHRQ-1416</v>
      </c>
      <c r="B1425" s="8" t="s">
        <v>1780</v>
      </c>
      <c r="C1425" s="35" t="s">
        <v>401</v>
      </c>
      <c r="D1425" s="36" t="s">
        <v>37</v>
      </c>
      <c r="E1425" s="37" t="s">
        <v>779</v>
      </c>
      <c r="F1425" s="35" t="s">
        <v>411</v>
      </c>
      <c r="G1425" s="7"/>
      <c r="H1425" s="7"/>
      <c r="I1425" s="12"/>
    </row>
    <row r="1426" spans="1:9" ht="51" x14ac:dyDescent="0.2">
      <c r="A1426" s="35" t="str">
        <f>HYPERLINK("https://mississippidhs.jamacloud.com/perspective.req?projectId=53&amp;docId=29358","LSRP-SHRQ-1417")</f>
        <v>LSRP-SHRQ-1417</v>
      </c>
      <c r="B1426" s="8" t="s">
        <v>1781</v>
      </c>
      <c r="C1426" s="35" t="s">
        <v>401</v>
      </c>
      <c r="D1426" s="36" t="s">
        <v>37</v>
      </c>
      <c r="E1426" s="37" t="s">
        <v>779</v>
      </c>
      <c r="F1426" s="35" t="s">
        <v>411</v>
      </c>
      <c r="G1426" s="7"/>
      <c r="H1426" s="7"/>
      <c r="I1426" s="12"/>
    </row>
    <row r="1427" spans="1:9" ht="51" x14ac:dyDescent="0.2">
      <c r="A1427" s="35" t="str">
        <f>HYPERLINK("https://mississippidhs.jamacloud.com/perspective.req?projectId=53&amp;docId=29359","LSRP-SHRQ-1418")</f>
        <v>LSRP-SHRQ-1418</v>
      </c>
      <c r="B1427" s="8" t="s">
        <v>1782</v>
      </c>
      <c r="C1427" s="35" t="s">
        <v>401</v>
      </c>
      <c r="D1427" s="36" t="s">
        <v>37</v>
      </c>
      <c r="E1427" s="37" t="s">
        <v>779</v>
      </c>
      <c r="F1427" s="35" t="s">
        <v>411</v>
      </c>
      <c r="G1427" s="7"/>
      <c r="H1427" s="7"/>
      <c r="I1427" s="12"/>
    </row>
    <row r="1428" spans="1:9" ht="38.25" x14ac:dyDescent="0.2">
      <c r="A1428" s="35" t="str">
        <f>HYPERLINK("https://mississippidhs.jamacloud.com/perspective.req?projectId=53&amp;docId=29360","LSRP-SHRQ-1419")</f>
        <v>LSRP-SHRQ-1419</v>
      </c>
      <c r="B1428" s="8" t="s">
        <v>1783</v>
      </c>
      <c r="C1428" s="35" t="s">
        <v>401</v>
      </c>
      <c r="D1428" s="36" t="s">
        <v>37</v>
      </c>
      <c r="E1428" s="37" t="s">
        <v>779</v>
      </c>
      <c r="F1428" s="35" t="s">
        <v>411</v>
      </c>
      <c r="G1428" s="7"/>
      <c r="H1428" s="7"/>
      <c r="I1428" s="12"/>
    </row>
    <row r="1429" spans="1:9" ht="51" x14ac:dyDescent="0.2">
      <c r="A1429" s="35" t="str">
        <f>HYPERLINK("https://mississippidhs.jamacloud.com/perspective.req?projectId=53&amp;docId=29361","LSRP-SHRQ-1420")</f>
        <v>LSRP-SHRQ-1420</v>
      </c>
      <c r="B1429" s="8" t="s">
        <v>1784</v>
      </c>
      <c r="C1429" s="35" t="s">
        <v>401</v>
      </c>
      <c r="D1429" s="36" t="s">
        <v>37</v>
      </c>
      <c r="E1429" s="37" t="s">
        <v>779</v>
      </c>
      <c r="F1429" s="35" t="s">
        <v>411</v>
      </c>
      <c r="G1429" s="7"/>
      <c r="H1429" s="7"/>
      <c r="I1429" s="12"/>
    </row>
    <row r="1430" spans="1:9" ht="25.5" x14ac:dyDescent="0.2">
      <c r="A1430" s="35" t="str">
        <f>HYPERLINK("https://mississippidhs.jamacloud.com/perspective.req?projectId=53&amp;docId=29362","LSRP-SHRQ-1421")</f>
        <v>LSRP-SHRQ-1421</v>
      </c>
      <c r="B1430" s="8" t="s">
        <v>1785</v>
      </c>
      <c r="C1430" s="35" t="s">
        <v>401</v>
      </c>
      <c r="D1430" s="36" t="s">
        <v>37</v>
      </c>
      <c r="E1430" s="37" t="s">
        <v>779</v>
      </c>
      <c r="F1430" s="35" t="s">
        <v>411</v>
      </c>
      <c r="G1430" s="7"/>
      <c r="H1430" s="7"/>
      <c r="I1430" s="12"/>
    </row>
    <row r="1431" spans="1:9" ht="38.25" x14ac:dyDescent="0.2">
      <c r="A1431" s="35" t="str">
        <f>HYPERLINK("https://mississippidhs.jamacloud.com/perspective.req?projectId=53&amp;docId=29363","LSRP-SHRQ-1422")</f>
        <v>LSRP-SHRQ-1422</v>
      </c>
      <c r="B1431" s="8" t="s">
        <v>1786</v>
      </c>
      <c r="C1431" s="35" t="s">
        <v>401</v>
      </c>
      <c r="D1431" s="36" t="s">
        <v>37</v>
      </c>
      <c r="E1431" s="37" t="s">
        <v>779</v>
      </c>
      <c r="F1431" s="35" t="s">
        <v>411</v>
      </c>
      <c r="G1431" s="7"/>
      <c r="H1431" s="7"/>
      <c r="I1431" s="12"/>
    </row>
    <row r="1432" spans="1:9" ht="51" x14ac:dyDescent="0.2">
      <c r="A1432" s="35" t="str">
        <f>HYPERLINK("https://mississippidhs.jamacloud.com/perspective.req?projectId=53&amp;docId=29364","LSRP-SHRQ-1423")</f>
        <v>LSRP-SHRQ-1423</v>
      </c>
      <c r="B1432" s="8" t="s">
        <v>1787</v>
      </c>
      <c r="C1432" s="35" t="s">
        <v>401</v>
      </c>
      <c r="D1432" s="36" t="s">
        <v>37</v>
      </c>
      <c r="E1432" s="37" t="s">
        <v>779</v>
      </c>
      <c r="F1432" s="35" t="s">
        <v>411</v>
      </c>
      <c r="G1432" s="7"/>
      <c r="H1432" s="7"/>
      <c r="I1432" s="12"/>
    </row>
    <row r="1433" spans="1:9" ht="25.5" x14ac:dyDescent="0.2">
      <c r="A1433" s="35" t="str">
        <f>HYPERLINK("https://mississippidhs.jamacloud.com/perspective.req?projectId=53&amp;docId=29365","LSRP-SHRQ-1424")</f>
        <v>LSRP-SHRQ-1424</v>
      </c>
      <c r="B1433" s="8" t="s">
        <v>1788</v>
      </c>
      <c r="C1433" s="35" t="s">
        <v>401</v>
      </c>
      <c r="D1433" s="36" t="s">
        <v>37</v>
      </c>
      <c r="E1433" s="37" t="s">
        <v>779</v>
      </c>
      <c r="F1433" s="35" t="s">
        <v>411</v>
      </c>
      <c r="G1433" s="7"/>
      <c r="H1433" s="7"/>
      <c r="I1433" s="12"/>
    </row>
    <row r="1434" spans="1:9" ht="38.25" x14ac:dyDescent="0.2">
      <c r="A1434" s="35" t="str">
        <f>HYPERLINK("https://mississippidhs.jamacloud.com/perspective.req?projectId=53&amp;docId=29366","LSRP-SHRQ-1425")</f>
        <v>LSRP-SHRQ-1425</v>
      </c>
      <c r="B1434" s="8" t="s">
        <v>1789</v>
      </c>
      <c r="C1434" s="35" t="s">
        <v>401</v>
      </c>
      <c r="D1434" s="36" t="s">
        <v>37</v>
      </c>
      <c r="E1434" s="37" t="s">
        <v>779</v>
      </c>
      <c r="F1434" s="35" t="s">
        <v>411</v>
      </c>
      <c r="G1434" s="7"/>
      <c r="H1434" s="7"/>
      <c r="I1434" s="12"/>
    </row>
    <row r="1435" spans="1:9" ht="38.25" x14ac:dyDescent="0.2">
      <c r="A1435" s="35" t="str">
        <f>HYPERLINK("https://mississippidhs.jamacloud.com/perspective.req?projectId=53&amp;docId=29367","LSRP-SHRQ-1426")</f>
        <v>LSRP-SHRQ-1426</v>
      </c>
      <c r="B1435" s="8" t="s">
        <v>1790</v>
      </c>
      <c r="C1435" s="35" t="s">
        <v>401</v>
      </c>
      <c r="D1435" s="36" t="s">
        <v>37</v>
      </c>
      <c r="E1435" s="37" t="s">
        <v>779</v>
      </c>
      <c r="F1435" s="35" t="s">
        <v>411</v>
      </c>
      <c r="G1435" s="7"/>
      <c r="H1435" s="7"/>
      <c r="I1435" s="12"/>
    </row>
    <row r="1436" spans="1:9" ht="63.75" x14ac:dyDescent="0.2">
      <c r="A1436" s="35" t="str">
        <f>HYPERLINK("https://mississippidhs.jamacloud.com/perspective.req?projectId=53&amp;docId=29368","LSRP-SHRQ-1427")</f>
        <v>LSRP-SHRQ-1427</v>
      </c>
      <c r="B1436" s="8" t="s">
        <v>1791</v>
      </c>
      <c r="C1436" s="35" t="s">
        <v>401</v>
      </c>
      <c r="D1436" s="36" t="s">
        <v>37</v>
      </c>
      <c r="E1436" s="37" t="s">
        <v>779</v>
      </c>
      <c r="F1436" s="35" t="s">
        <v>411</v>
      </c>
      <c r="G1436" s="7"/>
      <c r="H1436" s="7"/>
      <c r="I1436" s="12"/>
    </row>
    <row r="1437" spans="1:9" ht="38.25" x14ac:dyDescent="0.2">
      <c r="A1437" s="35" t="str">
        <f>HYPERLINK("https://mississippidhs.jamacloud.com/perspective.req?projectId=53&amp;docId=29369","LSRP-SHRQ-1428")</f>
        <v>LSRP-SHRQ-1428</v>
      </c>
      <c r="B1437" s="8" t="s">
        <v>1792</v>
      </c>
      <c r="C1437" s="35" t="s">
        <v>401</v>
      </c>
      <c r="D1437" s="36" t="s">
        <v>37</v>
      </c>
      <c r="E1437" s="37" t="s">
        <v>779</v>
      </c>
      <c r="F1437" s="35" t="s">
        <v>411</v>
      </c>
      <c r="G1437" s="7"/>
      <c r="H1437" s="7"/>
      <c r="I1437" s="12"/>
    </row>
    <row r="1438" spans="1:9" ht="38.25" x14ac:dyDescent="0.2">
      <c r="A1438" s="35" t="str">
        <f>HYPERLINK("https://mississippidhs.jamacloud.com/perspective.req?projectId=53&amp;docId=29370","LSRP-SHRQ-1429")</f>
        <v>LSRP-SHRQ-1429</v>
      </c>
      <c r="B1438" s="8" t="s">
        <v>1793</v>
      </c>
      <c r="C1438" s="35" t="s">
        <v>401</v>
      </c>
      <c r="D1438" s="36" t="s">
        <v>37</v>
      </c>
      <c r="E1438" s="37" t="s">
        <v>779</v>
      </c>
      <c r="F1438" s="35" t="s">
        <v>322</v>
      </c>
      <c r="G1438" s="7"/>
      <c r="H1438" s="7"/>
      <c r="I1438" s="12"/>
    </row>
    <row r="1439" spans="1:9" ht="63.75" x14ac:dyDescent="0.2">
      <c r="A1439" s="35" t="str">
        <f>HYPERLINK("https://mississippidhs.jamacloud.com/perspective.req?projectId=53&amp;docId=29371","LSRP-SHRQ-1430")</f>
        <v>LSRP-SHRQ-1430</v>
      </c>
      <c r="B1439" s="8" t="s">
        <v>1794</v>
      </c>
      <c r="C1439" s="35" t="s">
        <v>401</v>
      </c>
      <c r="D1439" s="36" t="s">
        <v>37</v>
      </c>
      <c r="E1439" s="37" t="s">
        <v>779</v>
      </c>
      <c r="F1439" s="35" t="s">
        <v>411</v>
      </c>
      <c r="G1439" s="7"/>
      <c r="H1439" s="7"/>
      <c r="I1439" s="12"/>
    </row>
    <row r="1440" spans="1:9" ht="25.5" x14ac:dyDescent="0.2">
      <c r="A1440" s="35" t="str">
        <f>HYPERLINK("https://mississippidhs.jamacloud.com/perspective.req?projectId=53&amp;docId=29372","LSRP-SHRQ-1431")</f>
        <v>LSRP-SHRQ-1431</v>
      </c>
      <c r="B1440" s="8" t="s">
        <v>1795</v>
      </c>
      <c r="C1440" s="35" t="s">
        <v>401</v>
      </c>
      <c r="D1440" s="36" t="s">
        <v>37</v>
      </c>
      <c r="E1440" s="37" t="s">
        <v>779</v>
      </c>
      <c r="F1440" s="35" t="s">
        <v>322</v>
      </c>
      <c r="G1440" s="7"/>
      <c r="H1440" s="7"/>
      <c r="I1440" s="12"/>
    </row>
    <row r="1441" spans="1:9" ht="63.75" x14ac:dyDescent="0.2">
      <c r="A1441" s="35" t="str">
        <f>HYPERLINK("https://mississippidhs.jamacloud.com/perspective.req?projectId=53&amp;docId=29373","LSRP-SHRQ-1432")</f>
        <v>LSRP-SHRQ-1432</v>
      </c>
      <c r="B1441" s="8" t="s">
        <v>1796</v>
      </c>
      <c r="C1441" s="35" t="s">
        <v>401</v>
      </c>
      <c r="D1441" s="36" t="s">
        <v>37</v>
      </c>
      <c r="E1441" s="37" t="s">
        <v>779</v>
      </c>
      <c r="F1441" s="35" t="s">
        <v>411</v>
      </c>
      <c r="G1441" s="7"/>
      <c r="H1441" s="7"/>
      <c r="I1441" s="12"/>
    </row>
    <row r="1442" spans="1:9" ht="76.5" x14ac:dyDescent="0.2">
      <c r="A1442" s="35" t="str">
        <f>HYPERLINK("https://mississippidhs.jamacloud.com/perspective.req?projectId=53&amp;docId=29374","LSRP-SHRQ-1433")</f>
        <v>LSRP-SHRQ-1433</v>
      </c>
      <c r="B1442" s="8" t="s">
        <v>1797</v>
      </c>
      <c r="C1442" s="35" t="s">
        <v>401</v>
      </c>
      <c r="D1442" s="36" t="s">
        <v>37</v>
      </c>
      <c r="E1442" s="37" t="s">
        <v>779</v>
      </c>
      <c r="F1442" s="35" t="s">
        <v>411</v>
      </c>
      <c r="G1442" s="7"/>
      <c r="H1442" s="7"/>
      <c r="I1442" s="12"/>
    </row>
    <row r="1443" spans="1:9" ht="76.5" x14ac:dyDescent="0.2">
      <c r="A1443" s="35" t="str">
        <f>HYPERLINK("https://mississippidhs.jamacloud.com/perspective.req?projectId=53&amp;docId=29375","LSRP-SHRQ-1434")</f>
        <v>LSRP-SHRQ-1434</v>
      </c>
      <c r="B1443" s="8" t="s">
        <v>1798</v>
      </c>
      <c r="C1443" s="35" t="s">
        <v>401</v>
      </c>
      <c r="D1443" s="36" t="s">
        <v>37</v>
      </c>
      <c r="E1443" s="37" t="s">
        <v>779</v>
      </c>
      <c r="F1443" s="35" t="s">
        <v>411</v>
      </c>
      <c r="G1443" s="7"/>
      <c r="H1443" s="7"/>
      <c r="I1443" s="12"/>
    </row>
    <row r="1444" spans="1:9" ht="25.5" x14ac:dyDescent="0.2">
      <c r="A1444" s="35" t="str">
        <f>HYPERLINK("https://mississippidhs.jamacloud.com/perspective.req?projectId=53&amp;docId=29376","LSRP-SHRQ-1435")</f>
        <v>LSRP-SHRQ-1435</v>
      </c>
      <c r="B1444" s="8" t="s">
        <v>1799</v>
      </c>
      <c r="C1444" s="35" t="s">
        <v>401</v>
      </c>
      <c r="D1444" s="36" t="s">
        <v>37</v>
      </c>
      <c r="E1444" s="37" t="s">
        <v>779</v>
      </c>
      <c r="F1444" s="35" t="s">
        <v>411</v>
      </c>
      <c r="G1444" s="7"/>
      <c r="H1444" s="7"/>
      <c r="I1444" s="12"/>
    </row>
    <row r="1445" spans="1:9" ht="25.5" x14ac:dyDescent="0.2">
      <c r="A1445" s="35" t="str">
        <f>HYPERLINK("https://mississippidhs.jamacloud.com/perspective.req?projectId=53&amp;docId=29377","LSRP-SHRQ-1436")</f>
        <v>LSRP-SHRQ-1436</v>
      </c>
      <c r="B1445" s="8" t="s">
        <v>1800</v>
      </c>
      <c r="C1445" s="35" t="s">
        <v>401</v>
      </c>
      <c r="D1445" s="36" t="s">
        <v>37</v>
      </c>
      <c r="E1445" s="37" t="s">
        <v>779</v>
      </c>
      <c r="F1445" s="35" t="s">
        <v>322</v>
      </c>
      <c r="G1445" s="7"/>
      <c r="H1445" s="7"/>
      <c r="I1445" s="12"/>
    </row>
    <row r="1446" spans="1:9" ht="25.5" x14ac:dyDescent="0.2">
      <c r="A1446" s="35" t="str">
        <f>HYPERLINK("https://mississippidhs.jamacloud.com/perspective.req?projectId=53&amp;docId=29378","LSRP-SHRQ-1437")</f>
        <v>LSRP-SHRQ-1437</v>
      </c>
      <c r="B1446" s="8" t="s">
        <v>1801</v>
      </c>
      <c r="C1446" s="35" t="s">
        <v>401</v>
      </c>
      <c r="D1446" s="36" t="s">
        <v>37</v>
      </c>
      <c r="E1446" s="37" t="s">
        <v>779</v>
      </c>
      <c r="F1446" s="35" t="s">
        <v>898</v>
      </c>
      <c r="G1446" s="7"/>
      <c r="H1446" s="7"/>
      <c r="I1446" s="12"/>
    </row>
    <row r="1447" spans="1:9" ht="25.5" x14ac:dyDescent="0.2">
      <c r="A1447" s="35" t="str">
        <f>HYPERLINK("https://mississippidhs.jamacloud.com/perspective.req?projectId=53&amp;docId=29379","LSRP-SHRQ-1438")</f>
        <v>LSRP-SHRQ-1438</v>
      </c>
      <c r="B1447" s="8" t="s">
        <v>1802</v>
      </c>
      <c r="C1447" s="35" t="s">
        <v>401</v>
      </c>
      <c r="D1447" s="36" t="s">
        <v>37</v>
      </c>
      <c r="E1447" s="37" t="s">
        <v>779</v>
      </c>
      <c r="F1447" s="35" t="s">
        <v>322</v>
      </c>
      <c r="G1447" s="7"/>
      <c r="H1447" s="7"/>
      <c r="I1447" s="12"/>
    </row>
    <row r="1448" spans="1:9" ht="25.5" x14ac:dyDescent="0.2">
      <c r="A1448" s="35" t="str">
        <f>HYPERLINK("https://mississippidhs.jamacloud.com/perspective.req?projectId=53&amp;docId=29380","LSRP-SHRQ-1439")</f>
        <v>LSRP-SHRQ-1439</v>
      </c>
      <c r="B1448" s="8" t="s">
        <v>1803</v>
      </c>
      <c r="C1448" s="35" t="s">
        <v>401</v>
      </c>
      <c r="D1448" s="36" t="s">
        <v>37</v>
      </c>
      <c r="E1448" s="37" t="s">
        <v>779</v>
      </c>
      <c r="F1448" s="35" t="s">
        <v>425</v>
      </c>
      <c r="G1448" s="7"/>
      <c r="H1448" s="7"/>
      <c r="I1448" s="12"/>
    </row>
    <row r="1449" spans="1:9" ht="25.5" x14ac:dyDescent="0.2">
      <c r="A1449" s="35" t="str">
        <f>HYPERLINK("https://mississippidhs.jamacloud.com/perspective.req?projectId=53&amp;docId=29381","LSRP-SHRQ-1440")</f>
        <v>LSRP-SHRQ-1440</v>
      </c>
      <c r="B1449" s="8" t="s">
        <v>1804</v>
      </c>
      <c r="C1449" s="35" t="s">
        <v>401</v>
      </c>
      <c r="D1449" s="36" t="s">
        <v>37</v>
      </c>
      <c r="E1449" s="37" t="s">
        <v>779</v>
      </c>
      <c r="F1449" s="35" t="s">
        <v>411</v>
      </c>
      <c r="G1449" s="7"/>
      <c r="H1449" s="7"/>
      <c r="I1449" s="12"/>
    </row>
    <row r="1450" spans="1:9" ht="25.5" x14ac:dyDescent="0.2">
      <c r="A1450" s="35" t="str">
        <f>HYPERLINK("https://mississippidhs.jamacloud.com/perspective.req?projectId=53&amp;docId=29382","LSRP-SHRQ-1441")</f>
        <v>LSRP-SHRQ-1441</v>
      </c>
      <c r="B1450" s="8" t="s">
        <v>1805</v>
      </c>
      <c r="C1450" s="35" t="s">
        <v>401</v>
      </c>
      <c r="D1450" s="36" t="s">
        <v>37</v>
      </c>
      <c r="E1450" s="37" t="s">
        <v>779</v>
      </c>
      <c r="F1450" s="35" t="s">
        <v>411</v>
      </c>
      <c r="G1450" s="7"/>
      <c r="H1450" s="7"/>
      <c r="I1450" s="12"/>
    </row>
    <row r="1451" spans="1:9" ht="25.5" x14ac:dyDescent="0.2">
      <c r="A1451" s="35" t="str">
        <f>HYPERLINK("https://mississippidhs.jamacloud.com/perspective.req?projectId=53&amp;docId=29383","LSRP-SHRQ-1442")</f>
        <v>LSRP-SHRQ-1442</v>
      </c>
      <c r="B1451" s="8" t="s">
        <v>1806</v>
      </c>
      <c r="C1451" s="35" t="s">
        <v>401</v>
      </c>
      <c r="D1451" s="36" t="s">
        <v>37</v>
      </c>
      <c r="E1451" s="37" t="s">
        <v>779</v>
      </c>
      <c r="F1451" s="35" t="s">
        <v>411</v>
      </c>
      <c r="G1451" s="7"/>
      <c r="H1451" s="7"/>
      <c r="I1451" s="12"/>
    </row>
    <row r="1452" spans="1:9" ht="14.25" x14ac:dyDescent="0.2">
      <c r="A1452" s="35" t="str">
        <f>HYPERLINK("https://mississippidhs.jamacloud.com/perspective.req?projectId=53&amp;docId=29384","LSRP-SHRQ-1443")</f>
        <v>LSRP-SHRQ-1443</v>
      </c>
      <c r="B1452" s="8" t="s">
        <v>1807</v>
      </c>
      <c r="C1452" s="35" t="s">
        <v>401</v>
      </c>
      <c r="D1452" s="36" t="s">
        <v>37</v>
      </c>
      <c r="E1452" s="37" t="s">
        <v>779</v>
      </c>
      <c r="F1452" s="35" t="s">
        <v>411</v>
      </c>
      <c r="G1452" s="7"/>
      <c r="H1452" s="7"/>
      <c r="I1452" s="12"/>
    </row>
    <row r="1453" spans="1:9" ht="38.25" x14ac:dyDescent="0.2">
      <c r="A1453" s="35" t="str">
        <f>HYPERLINK("https://mississippidhs.jamacloud.com/perspective.req?projectId=53&amp;docId=29385","LSRP-SHRQ-1444")</f>
        <v>LSRP-SHRQ-1444</v>
      </c>
      <c r="B1453" s="8" t="s">
        <v>1808</v>
      </c>
      <c r="C1453" s="35" t="s">
        <v>401</v>
      </c>
      <c r="D1453" s="36" t="s">
        <v>37</v>
      </c>
      <c r="E1453" s="37" t="s">
        <v>779</v>
      </c>
      <c r="F1453" s="35" t="s">
        <v>411</v>
      </c>
      <c r="G1453" s="7"/>
      <c r="H1453" s="7"/>
      <c r="I1453" s="12"/>
    </row>
    <row r="1454" spans="1:9" ht="38.25" x14ac:dyDescent="0.2">
      <c r="A1454" s="35" t="str">
        <f>HYPERLINK("https://mississippidhs.jamacloud.com/perspective.req?projectId=53&amp;docId=29386","LSRP-SHRQ-1445")</f>
        <v>LSRP-SHRQ-1445</v>
      </c>
      <c r="B1454" s="8" t="s">
        <v>1809</v>
      </c>
      <c r="C1454" s="35" t="s">
        <v>401</v>
      </c>
      <c r="D1454" s="36" t="s">
        <v>37</v>
      </c>
      <c r="E1454" s="37" t="s">
        <v>779</v>
      </c>
      <c r="F1454" s="35" t="s">
        <v>411</v>
      </c>
      <c r="G1454" s="7"/>
      <c r="H1454" s="7"/>
      <c r="I1454" s="12"/>
    </row>
    <row r="1455" spans="1:9" ht="14.25" x14ac:dyDescent="0.2">
      <c r="A1455" s="35" t="str">
        <f>HYPERLINK("https://mississippidhs.jamacloud.com/perspective.req?projectId=53&amp;docId=29387","LSRP-SHRQ-1446")</f>
        <v>LSRP-SHRQ-1446</v>
      </c>
      <c r="B1455" s="8" t="s">
        <v>1810</v>
      </c>
      <c r="C1455" s="35" t="s">
        <v>401</v>
      </c>
      <c r="D1455" s="36" t="s">
        <v>37</v>
      </c>
      <c r="E1455" s="37" t="s">
        <v>779</v>
      </c>
      <c r="F1455" s="35" t="s">
        <v>411</v>
      </c>
      <c r="G1455" s="7"/>
      <c r="H1455" s="7"/>
      <c r="I1455" s="12"/>
    </row>
    <row r="1456" spans="1:9" ht="76.5" x14ac:dyDescent="0.2">
      <c r="A1456" s="35" t="str">
        <f>HYPERLINK("https://mississippidhs.jamacloud.com/perspective.req?projectId=53&amp;docId=29388","LSRP-SHRQ-1447")</f>
        <v>LSRP-SHRQ-1447</v>
      </c>
      <c r="B1456" s="8" t="s">
        <v>1811</v>
      </c>
      <c r="C1456" s="35" t="s">
        <v>401</v>
      </c>
      <c r="D1456" s="36" t="s">
        <v>37</v>
      </c>
      <c r="E1456" s="37" t="s">
        <v>779</v>
      </c>
      <c r="F1456" s="35" t="s">
        <v>411</v>
      </c>
      <c r="G1456" s="7"/>
      <c r="H1456" s="7"/>
      <c r="I1456" s="12"/>
    </row>
    <row r="1457" spans="1:9" ht="38.25" x14ac:dyDescent="0.2">
      <c r="A1457" s="35" t="str">
        <f>HYPERLINK("https://mississippidhs.jamacloud.com/perspective.req?projectId=53&amp;docId=29389","LSRP-SHRQ-1448")</f>
        <v>LSRP-SHRQ-1448</v>
      </c>
      <c r="B1457" s="8" t="s">
        <v>1812</v>
      </c>
      <c r="C1457" s="35" t="s">
        <v>401</v>
      </c>
      <c r="D1457" s="36" t="s">
        <v>37</v>
      </c>
      <c r="E1457" s="37" t="s">
        <v>779</v>
      </c>
      <c r="F1457" s="35" t="s">
        <v>411</v>
      </c>
      <c r="G1457" s="7"/>
      <c r="H1457" s="7"/>
      <c r="I1457" s="12"/>
    </row>
    <row r="1458" spans="1:9" ht="25.5" x14ac:dyDescent="0.2">
      <c r="A1458" s="35" t="str">
        <f>HYPERLINK("https://mississippidhs.jamacloud.com/perspective.req?projectId=53&amp;docId=29390","LSRP-SHRQ-1449")</f>
        <v>LSRP-SHRQ-1449</v>
      </c>
      <c r="B1458" s="8" t="s">
        <v>1813</v>
      </c>
      <c r="C1458" s="35" t="s">
        <v>401</v>
      </c>
      <c r="D1458" s="36" t="s">
        <v>37</v>
      </c>
      <c r="E1458" s="37" t="s">
        <v>779</v>
      </c>
      <c r="F1458" s="35" t="s">
        <v>411</v>
      </c>
      <c r="G1458" s="7"/>
      <c r="H1458" s="7"/>
      <c r="I1458" s="12"/>
    </row>
    <row r="1459" spans="1:9" ht="25.5" x14ac:dyDescent="0.2">
      <c r="A1459" s="35" t="str">
        <f>HYPERLINK("https://mississippidhs.jamacloud.com/perspective.req?projectId=53&amp;docId=29391","LSRP-SHRQ-1450")</f>
        <v>LSRP-SHRQ-1450</v>
      </c>
      <c r="B1459" s="8" t="s">
        <v>1814</v>
      </c>
      <c r="C1459" s="35" t="s">
        <v>401</v>
      </c>
      <c r="D1459" s="36" t="s">
        <v>37</v>
      </c>
      <c r="E1459" s="37" t="s">
        <v>779</v>
      </c>
      <c r="F1459" s="35" t="s">
        <v>411</v>
      </c>
      <c r="G1459" s="7"/>
      <c r="H1459" s="7"/>
      <c r="I1459" s="12"/>
    </row>
    <row r="1460" spans="1:9" ht="38.25" x14ac:dyDescent="0.2">
      <c r="A1460" s="35" t="str">
        <f>HYPERLINK("https://mississippidhs.jamacloud.com/perspective.req?projectId=53&amp;docId=29392","LSRP-SHRQ-1451")</f>
        <v>LSRP-SHRQ-1451</v>
      </c>
      <c r="B1460" s="8" t="s">
        <v>1815</v>
      </c>
      <c r="C1460" s="35" t="s">
        <v>401</v>
      </c>
      <c r="D1460" s="36" t="s">
        <v>37</v>
      </c>
      <c r="E1460" s="37" t="s">
        <v>779</v>
      </c>
      <c r="F1460" s="35" t="s">
        <v>411</v>
      </c>
      <c r="G1460" s="7"/>
      <c r="H1460" s="7"/>
      <c r="I1460" s="12"/>
    </row>
    <row r="1461" spans="1:9" ht="25.5" x14ac:dyDescent="0.2">
      <c r="A1461" s="35" t="str">
        <f>HYPERLINK("https://mississippidhs.jamacloud.com/perspective.req?projectId=53&amp;docId=29393","LSRP-SHRQ-1452")</f>
        <v>LSRP-SHRQ-1452</v>
      </c>
      <c r="B1461" s="8" t="s">
        <v>1816</v>
      </c>
      <c r="C1461" s="35" t="s">
        <v>401</v>
      </c>
      <c r="D1461" s="36" t="s">
        <v>37</v>
      </c>
      <c r="E1461" s="37" t="s">
        <v>779</v>
      </c>
      <c r="F1461" s="35" t="s">
        <v>322</v>
      </c>
      <c r="G1461" s="7"/>
      <c r="H1461" s="7"/>
      <c r="I1461" s="12"/>
    </row>
    <row r="1462" spans="1:9" ht="25.5" x14ac:dyDescent="0.2">
      <c r="A1462" s="35" t="str">
        <f>HYPERLINK("https://mississippidhs.jamacloud.com/perspective.req?projectId=53&amp;docId=29394","LSRP-SHRQ-1453")</f>
        <v>LSRP-SHRQ-1453</v>
      </c>
      <c r="B1462" s="8" t="s">
        <v>1817</v>
      </c>
      <c r="C1462" s="35" t="s">
        <v>401</v>
      </c>
      <c r="D1462" s="36" t="s">
        <v>37</v>
      </c>
      <c r="E1462" s="37" t="s">
        <v>779</v>
      </c>
      <c r="F1462" s="35" t="s">
        <v>411</v>
      </c>
      <c r="G1462" s="7"/>
      <c r="H1462" s="7"/>
      <c r="I1462" s="12"/>
    </row>
    <row r="1463" spans="1:9" ht="25.5" x14ac:dyDescent="0.2">
      <c r="A1463" s="35" t="str">
        <f>HYPERLINK("https://mississippidhs.jamacloud.com/perspective.req?projectId=53&amp;docId=29395","LSRP-SHRQ-1454")</f>
        <v>LSRP-SHRQ-1454</v>
      </c>
      <c r="B1463" s="8" t="s">
        <v>1818</v>
      </c>
      <c r="C1463" s="35" t="s">
        <v>401</v>
      </c>
      <c r="D1463" s="36" t="s">
        <v>37</v>
      </c>
      <c r="E1463" s="37" t="s">
        <v>779</v>
      </c>
      <c r="F1463" s="35" t="s">
        <v>411</v>
      </c>
      <c r="G1463" s="7"/>
      <c r="H1463" s="7"/>
      <c r="I1463" s="12"/>
    </row>
    <row r="1464" spans="1:9" ht="63.75" x14ac:dyDescent="0.2">
      <c r="A1464" s="35" t="str">
        <f>HYPERLINK("https://mississippidhs.jamacloud.com/perspective.req?projectId=53&amp;docId=29396","LSRP-SHRQ-1455")</f>
        <v>LSRP-SHRQ-1455</v>
      </c>
      <c r="B1464" s="8" t="s">
        <v>1819</v>
      </c>
      <c r="C1464" s="35" t="s">
        <v>401</v>
      </c>
      <c r="D1464" s="36" t="s">
        <v>37</v>
      </c>
      <c r="E1464" s="37" t="s">
        <v>779</v>
      </c>
      <c r="F1464" s="35" t="s">
        <v>411</v>
      </c>
      <c r="G1464" s="7"/>
      <c r="H1464" s="7"/>
      <c r="I1464" s="12"/>
    </row>
    <row r="1465" spans="1:9" ht="25.5" x14ac:dyDescent="0.2">
      <c r="A1465" s="35" t="str">
        <f>HYPERLINK("https://mississippidhs.jamacloud.com/perspective.req?projectId=53&amp;docId=29397","LSRP-SHRQ-1456")</f>
        <v>LSRP-SHRQ-1456</v>
      </c>
      <c r="B1465" s="8" t="s">
        <v>1820</v>
      </c>
      <c r="C1465" s="35" t="s">
        <v>401</v>
      </c>
      <c r="D1465" s="36" t="s">
        <v>37</v>
      </c>
      <c r="E1465" s="37" t="s">
        <v>779</v>
      </c>
      <c r="F1465" s="35" t="s">
        <v>411</v>
      </c>
      <c r="G1465" s="7"/>
      <c r="H1465" s="7"/>
      <c r="I1465" s="12"/>
    </row>
    <row r="1466" spans="1:9" ht="14.25" x14ac:dyDescent="0.2">
      <c r="A1466" s="35" t="str">
        <f>HYPERLINK("https://mississippidhs.jamacloud.com/perspective.req?projectId=53&amp;docId=29398","LSRP-SHRQ-1457")</f>
        <v>LSRP-SHRQ-1457</v>
      </c>
      <c r="B1466" s="8" t="s">
        <v>1821</v>
      </c>
      <c r="C1466" s="35" t="s">
        <v>401</v>
      </c>
      <c r="D1466" s="36" t="s">
        <v>37</v>
      </c>
      <c r="E1466" s="37" t="s">
        <v>779</v>
      </c>
      <c r="F1466" s="35" t="s">
        <v>411</v>
      </c>
      <c r="G1466" s="7"/>
      <c r="H1466" s="7"/>
      <c r="I1466" s="12"/>
    </row>
    <row r="1467" spans="1:9" ht="25.5" x14ac:dyDescent="0.2">
      <c r="A1467" s="35" t="str">
        <f>HYPERLINK("https://mississippidhs.jamacloud.com/perspective.req?projectId=53&amp;docId=29399","LSRP-SHRQ-1458")</f>
        <v>LSRP-SHRQ-1458</v>
      </c>
      <c r="B1467" s="8" t="s">
        <v>1822</v>
      </c>
      <c r="C1467" s="35" t="s">
        <v>401</v>
      </c>
      <c r="D1467" s="36" t="s">
        <v>37</v>
      </c>
      <c r="E1467" s="37" t="s">
        <v>779</v>
      </c>
      <c r="F1467" s="35" t="s">
        <v>411</v>
      </c>
      <c r="G1467" s="7"/>
      <c r="H1467" s="7"/>
      <c r="I1467" s="12"/>
    </row>
    <row r="1468" spans="1:9" ht="25.5" x14ac:dyDescent="0.2">
      <c r="A1468" s="35" t="str">
        <f>HYPERLINK("https://mississippidhs.jamacloud.com/perspective.req?projectId=53&amp;docId=29400","LSRP-SHRQ-1459")</f>
        <v>LSRP-SHRQ-1459</v>
      </c>
      <c r="B1468" s="8" t="s">
        <v>1823</v>
      </c>
      <c r="C1468" s="35" t="s">
        <v>401</v>
      </c>
      <c r="D1468" s="36" t="s">
        <v>37</v>
      </c>
      <c r="E1468" s="37" t="s">
        <v>779</v>
      </c>
      <c r="F1468" s="35" t="s">
        <v>411</v>
      </c>
      <c r="G1468" s="7"/>
      <c r="H1468" s="7"/>
      <c r="I1468" s="12"/>
    </row>
    <row r="1469" spans="1:9" ht="14.25" x14ac:dyDescent="0.2">
      <c r="A1469" s="35" t="str">
        <f>HYPERLINK("https://mississippidhs.jamacloud.com/perspective.req?projectId=53&amp;docId=29401","LSRP-SHRQ-1460")</f>
        <v>LSRP-SHRQ-1460</v>
      </c>
      <c r="B1469" s="8" t="s">
        <v>1824</v>
      </c>
      <c r="C1469" s="35" t="s">
        <v>401</v>
      </c>
      <c r="D1469" s="36" t="s">
        <v>37</v>
      </c>
      <c r="E1469" s="37" t="s">
        <v>779</v>
      </c>
      <c r="F1469" s="35" t="s">
        <v>411</v>
      </c>
      <c r="G1469" s="7"/>
      <c r="H1469" s="7"/>
      <c r="I1469" s="12"/>
    </row>
    <row r="1470" spans="1:9" ht="38.25" x14ac:dyDescent="0.2">
      <c r="A1470" s="35" t="str">
        <f>HYPERLINK("https://mississippidhs.jamacloud.com/perspective.req?projectId=53&amp;docId=29402","LSRP-SHRQ-1461")</f>
        <v>LSRP-SHRQ-1461</v>
      </c>
      <c r="B1470" s="8" t="s">
        <v>1825</v>
      </c>
      <c r="C1470" s="35" t="s">
        <v>401</v>
      </c>
      <c r="D1470" s="36" t="s">
        <v>37</v>
      </c>
      <c r="E1470" s="37" t="s">
        <v>779</v>
      </c>
      <c r="F1470" s="35" t="s">
        <v>411</v>
      </c>
      <c r="G1470" s="7"/>
      <c r="H1470" s="7"/>
      <c r="I1470" s="12"/>
    </row>
    <row r="1471" spans="1:9" ht="25.5" x14ac:dyDescent="0.2">
      <c r="A1471" s="35" t="str">
        <f>HYPERLINK("https://mississippidhs.jamacloud.com/perspective.req?projectId=53&amp;docId=29403","LSRP-SHRQ-1462")</f>
        <v>LSRP-SHRQ-1462</v>
      </c>
      <c r="B1471" s="8" t="s">
        <v>1826</v>
      </c>
      <c r="C1471" s="35" t="s">
        <v>401</v>
      </c>
      <c r="D1471" s="36" t="s">
        <v>37</v>
      </c>
      <c r="E1471" s="37" t="s">
        <v>779</v>
      </c>
      <c r="F1471" s="35" t="s">
        <v>411</v>
      </c>
      <c r="G1471" s="7"/>
      <c r="H1471" s="7"/>
      <c r="I1471" s="12"/>
    </row>
    <row r="1472" spans="1:9" ht="38.25" x14ac:dyDescent="0.2">
      <c r="A1472" s="35" t="str">
        <f>HYPERLINK("https://mississippidhs.jamacloud.com/perspective.req?projectId=53&amp;docId=29404","LSRP-SHRQ-1463")</f>
        <v>LSRP-SHRQ-1463</v>
      </c>
      <c r="B1472" s="8" t="s">
        <v>1827</v>
      </c>
      <c r="C1472" s="35" t="s">
        <v>401</v>
      </c>
      <c r="D1472" s="36" t="s">
        <v>37</v>
      </c>
      <c r="E1472" s="37" t="s">
        <v>779</v>
      </c>
      <c r="F1472" s="35" t="s">
        <v>411</v>
      </c>
      <c r="G1472" s="7"/>
      <c r="H1472" s="7"/>
      <c r="I1472" s="12"/>
    </row>
    <row r="1473" spans="1:9" ht="38.25" x14ac:dyDescent="0.2">
      <c r="A1473" s="35" t="str">
        <f>HYPERLINK("https://mississippidhs.jamacloud.com/perspective.req?projectId=53&amp;docId=29405","LSRP-SHRQ-1464")</f>
        <v>LSRP-SHRQ-1464</v>
      </c>
      <c r="B1473" s="8" t="s">
        <v>1828</v>
      </c>
      <c r="C1473" s="35" t="s">
        <v>401</v>
      </c>
      <c r="D1473" s="36" t="s">
        <v>37</v>
      </c>
      <c r="E1473" s="37" t="s">
        <v>779</v>
      </c>
      <c r="F1473" s="35" t="s">
        <v>411</v>
      </c>
      <c r="G1473" s="7"/>
      <c r="H1473" s="7"/>
      <c r="I1473" s="12"/>
    </row>
    <row r="1474" spans="1:9" ht="38.25" x14ac:dyDescent="0.2">
      <c r="A1474" s="35" t="str">
        <f>HYPERLINK("https://mississippidhs.jamacloud.com/perspective.req?projectId=53&amp;docId=29406","LSRP-SHRQ-1465")</f>
        <v>LSRP-SHRQ-1465</v>
      </c>
      <c r="B1474" s="8" t="s">
        <v>1829</v>
      </c>
      <c r="C1474" s="35" t="s">
        <v>401</v>
      </c>
      <c r="D1474" s="36" t="s">
        <v>37</v>
      </c>
      <c r="E1474" s="37" t="s">
        <v>779</v>
      </c>
      <c r="F1474" s="35" t="s">
        <v>411</v>
      </c>
      <c r="G1474" s="7"/>
      <c r="H1474" s="7"/>
      <c r="I1474" s="12"/>
    </row>
    <row r="1475" spans="1:9" ht="38.25" x14ac:dyDescent="0.2">
      <c r="A1475" s="35" t="str">
        <f>HYPERLINK("https://mississippidhs.jamacloud.com/perspective.req?projectId=53&amp;docId=29407","LSRP-SHRQ-1466")</f>
        <v>LSRP-SHRQ-1466</v>
      </c>
      <c r="B1475" s="8" t="s">
        <v>1830</v>
      </c>
      <c r="C1475" s="35" t="s">
        <v>401</v>
      </c>
      <c r="D1475" s="36" t="s">
        <v>37</v>
      </c>
      <c r="E1475" s="37" t="s">
        <v>779</v>
      </c>
      <c r="F1475" s="35" t="s">
        <v>411</v>
      </c>
      <c r="G1475" s="7"/>
      <c r="H1475" s="7"/>
      <c r="I1475" s="12"/>
    </row>
    <row r="1476" spans="1:9" ht="25.5" x14ac:dyDescent="0.2">
      <c r="A1476" s="35" t="str">
        <f>HYPERLINK("https://mississippidhs.jamacloud.com/perspective.req?projectId=53&amp;docId=29408","LSRP-SHRQ-1467")</f>
        <v>LSRP-SHRQ-1467</v>
      </c>
      <c r="B1476" s="8" t="s">
        <v>1831</v>
      </c>
      <c r="C1476" s="35" t="s">
        <v>401</v>
      </c>
      <c r="D1476" s="36" t="s">
        <v>37</v>
      </c>
      <c r="E1476" s="37" t="s">
        <v>779</v>
      </c>
      <c r="F1476" s="35" t="s">
        <v>411</v>
      </c>
      <c r="G1476" s="7"/>
      <c r="H1476" s="7"/>
      <c r="I1476" s="12"/>
    </row>
    <row r="1477" spans="1:9" ht="38.25" x14ac:dyDescent="0.2">
      <c r="A1477" s="35" t="str">
        <f>HYPERLINK("https://mississippidhs.jamacloud.com/perspective.req?projectId=53&amp;docId=29409","LSRP-SHRQ-1468")</f>
        <v>LSRP-SHRQ-1468</v>
      </c>
      <c r="B1477" s="8" t="s">
        <v>1832</v>
      </c>
      <c r="C1477" s="35" t="s">
        <v>401</v>
      </c>
      <c r="D1477" s="36" t="s">
        <v>37</v>
      </c>
      <c r="E1477" s="37" t="s">
        <v>779</v>
      </c>
      <c r="F1477" s="35" t="s">
        <v>411</v>
      </c>
      <c r="G1477" s="7"/>
      <c r="H1477" s="7"/>
      <c r="I1477" s="12"/>
    </row>
    <row r="1478" spans="1:9" ht="25.5" x14ac:dyDescent="0.2">
      <c r="A1478" s="35" t="str">
        <f>HYPERLINK("https://mississippidhs.jamacloud.com/perspective.req?projectId=53&amp;docId=29410","LSRP-SHRQ-1469")</f>
        <v>LSRP-SHRQ-1469</v>
      </c>
      <c r="B1478" s="8" t="s">
        <v>1833</v>
      </c>
      <c r="C1478" s="35" t="s">
        <v>401</v>
      </c>
      <c r="D1478" s="36" t="s">
        <v>37</v>
      </c>
      <c r="E1478" s="37" t="s">
        <v>779</v>
      </c>
      <c r="F1478" s="35" t="s">
        <v>411</v>
      </c>
      <c r="G1478" s="7"/>
      <c r="H1478" s="7"/>
      <c r="I1478" s="12"/>
    </row>
    <row r="1479" spans="1:9" ht="127.5" x14ac:dyDescent="0.2">
      <c r="A1479" s="35" t="str">
        <f>HYPERLINK("https://mississippidhs.jamacloud.com/perspective.req?projectId=53&amp;docId=29411","LSRP-SHRQ-1470")</f>
        <v>LSRP-SHRQ-1470</v>
      </c>
      <c r="B1479" s="8" t="s">
        <v>1834</v>
      </c>
      <c r="C1479" s="35" t="s">
        <v>401</v>
      </c>
      <c r="D1479" s="36" t="s">
        <v>37</v>
      </c>
      <c r="E1479" s="37" t="s">
        <v>779</v>
      </c>
      <c r="F1479" s="35" t="s">
        <v>322</v>
      </c>
      <c r="G1479" s="7"/>
      <c r="H1479" s="7"/>
      <c r="I1479" s="12"/>
    </row>
    <row r="1480" spans="1:9" ht="76.5" x14ac:dyDescent="0.2">
      <c r="A1480" s="35" t="str">
        <f>HYPERLINK("https://mississippidhs.jamacloud.com/perspective.req?projectId=53&amp;docId=29412","LSRP-SHRQ-1471")</f>
        <v>LSRP-SHRQ-1471</v>
      </c>
      <c r="B1480" s="8" t="s">
        <v>1835</v>
      </c>
      <c r="C1480" s="35" t="s">
        <v>401</v>
      </c>
      <c r="D1480" s="36" t="s">
        <v>37</v>
      </c>
      <c r="E1480" s="37" t="s">
        <v>779</v>
      </c>
      <c r="F1480" s="35" t="s">
        <v>322</v>
      </c>
      <c r="G1480" s="7"/>
      <c r="H1480" s="7"/>
      <c r="I1480" s="12"/>
    </row>
    <row r="1481" spans="1:9" ht="51" x14ac:dyDescent="0.2">
      <c r="A1481" s="35" t="str">
        <f>HYPERLINK("https://mississippidhs.jamacloud.com/perspective.req?projectId=53&amp;docId=29413","LSRP-SHRQ-1472")</f>
        <v>LSRP-SHRQ-1472</v>
      </c>
      <c r="B1481" s="8" t="s">
        <v>1836</v>
      </c>
      <c r="C1481" s="35" t="s">
        <v>401</v>
      </c>
      <c r="D1481" s="36" t="s">
        <v>37</v>
      </c>
      <c r="E1481" s="37" t="s">
        <v>779</v>
      </c>
      <c r="F1481" s="35" t="s">
        <v>322</v>
      </c>
      <c r="G1481" s="7"/>
      <c r="H1481" s="7"/>
      <c r="I1481" s="12"/>
    </row>
    <row r="1482" spans="1:9" ht="25.5" x14ac:dyDescent="0.2">
      <c r="A1482" s="35" t="str">
        <f>HYPERLINK("https://mississippidhs.jamacloud.com/perspective.req?projectId=53&amp;docId=29414","LSRP-SHRQ-1473")</f>
        <v>LSRP-SHRQ-1473</v>
      </c>
      <c r="B1482" s="8" t="s">
        <v>1837</v>
      </c>
      <c r="C1482" s="35" t="s">
        <v>401</v>
      </c>
      <c r="D1482" s="36" t="s">
        <v>37</v>
      </c>
      <c r="E1482" s="37" t="s">
        <v>779</v>
      </c>
      <c r="F1482" s="35" t="s">
        <v>545</v>
      </c>
      <c r="G1482" s="7"/>
      <c r="H1482" s="7"/>
      <c r="I1482" s="12"/>
    </row>
    <row r="1483" spans="1:9" ht="25.5" x14ac:dyDescent="0.2">
      <c r="A1483" s="35" t="str">
        <f>HYPERLINK("https://mississippidhs.jamacloud.com/perspective.req?projectId=53&amp;docId=29415","LSRP-SHRQ-1474")</f>
        <v>LSRP-SHRQ-1474</v>
      </c>
      <c r="B1483" s="8" t="s">
        <v>1838</v>
      </c>
      <c r="C1483" s="35" t="s">
        <v>401</v>
      </c>
      <c r="D1483" s="36" t="s">
        <v>37</v>
      </c>
      <c r="E1483" s="37" t="s">
        <v>779</v>
      </c>
      <c r="F1483" s="35" t="s">
        <v>545</v>
      </c>
      <c r="G1483" s="7"/>
      <c r="H1483" s="7"/>
      <c r="I1483" s="12"/>
    </row>
    <row r="1484" spans="1:9" ht="25.5" x14ac:dyDescent="0.2">
      <c r="A1484" s="35" t="str">
        <f>HYPERLINK("https://mississippidhs.jamacloud.com/perspective.req?projectId=53&amp;docId=29416","LSRP-SHRQ-1475")</f>
        <v>LSRP-SHRQ-1475</v>
      </c>
      <c r="B1484" s="8" t="s">
        <v>1839</v>
      </c>
      <c r="C1484" s="35" t="s">
        <v>401</v>
      </c>
      <c r="D1484" s="36" t="s">
        <v>37</v>
      </c>
      <c r="E1484" s="37" t="s">
        <v>779</v>
      </c>
      <c r="F1484" s="35" t="s">
        <v>545</v>
      </c>
      <c r="G1484" s="7"/>
      <c r="H1484" s="7"/>
      <c r="I1484" s="12"/>
    </row>
    <row r="1485" spans="1:9" ht="25.5" x14ac:dyDescent="0.2">
      <c r="A1485" s="35" t="str">
        <f>HYPERLINK("https://mississippidhs.jamacloud.com/perspective.req?projectId=53&amp;docId=29417","LSRP-SHRQ-1476")</f>
        <v>LSRP-SHRQ-1476</v>
      </c>
      <c r="B1485" s="8" t="s">
        <v>1840</v>
      </c>
      <c r="C1485" s="35" t="s">
        <v>401</v>
      </c>
      <c r="D1485" s="36" t="s">
        <v>37</v>
      </c>
      <c r="E1485" s="37" t="s">
        <v>779</v>
      </c>
      <c r="F1485" s="35" t="s">
        <v>545</v>
      </c>
      <c r="G1485" s="7"/>
      <c r="H1485" s="7"/>
      <c r="I1485" s="12"/>
    </row>
    <row r="1486" spans="1:9" ht="25.5" x14ac:dyDescent="0.2">
      <c r="A1486" s="35" t="str">
        <f>HYPERLINK("https://mississippidhs.jamacloud.com/perspective.req?projectId=53&amp;docId=29418","LSRP-SHRQ-1477")</f>
        <v>LSRP-SHRQ-1477</v>
      </c>
      <c r="B1486" s="8" t="s">
        <v>1841</v>
      </c>
      <c r="C1486" s="35" t="s">
        <v>401</v>
      </c>
      <c r="D1486" s="36" t="s">
        <v>37</v>
      </c>
      <c r="E1486" s="37" t="s">
        <v>779</v>
      </c>
      <c r="F1486" s="35" t="s">
        <v>322</v>
      </c>
      <c r="G1486" s="7"/>
      <c r="H1486" s="7"/>
      <c r="I1486" s="12"/>
    </row>
    <row r="1487" spans="1:9" ht="25.5" x14ac:dyDescent="0.2">
      <c r="A1487" s="35" t="str">
        <f>HYPERLINK("https://mississippidhs.jamacloud.com/perspective.req?projectId=53&amp;docId=29419","LSRP-SHRQ-1478")</f>
        <v>LSRP-SHRQ-1478</v>
      </c>
      <c r="B1487" s="8" t="s">
        <v>1842</v>
      </c>
      <c r="C1487" s="35" t="s">
        <v>401</v>
      </c>
      <c r="D1487" s="36" t="s">
        <v>37</v>
      </c>
      <c r="E1487" s="37" t="s">
        <v>779</v>
      </c>
      <c r="F1487" s="35" t="s">
        <v>322</v>
      </c>
      <c r="G1487" s="7"/>
      <c r="H1487" s="7"/>
      <c r="I1487" s="12"/>
    </row>
    <row r="1488" spans="1:9" ht="14.25" x14ac:dyDescent="0.2">
      <c r="A1488" s="35" t="str">
        <f>HYPERLINK("https://mississippidhs.jamacloud.com/perspective.req?projectId=53&amp;docId=29420","LSRP-SHRQ-1479")</f>
        <v>LSRP-SHRQ-1479</v>
      </c>
      <c r="B1488" s="8" t="s">
        <v>1843</v>
      </c>
      <c r="C1488" s="35" t="s">
        <v>401</v>
      </c>
      <c r="D1488" s="36" t="s">
        <v>37</v>
      </c>
      <c r="E1488" s="37" t="s">
        <v>779</v>
      </c>
      <c r="F1488" s="35" t="s">
        <v>545</v>
      </c>
      <c r="G1488" s="7"/>
      <c r="H1488" s="7"/>
      <c r="I1488" s="12"/>
    </row>
    <row r="1489" spans="1:9" ht="51" x14ac:dyDescent="0.2">
      <c r="A1489" s="35" t="str">
        <f>HYPERLINK("https://mississippidhs.jamacloud.com/perspective.req?projectId=53&amp;docId=29421","LSRP-SHRQ-1480")</f>
        <v>LSRP-SHRQ-1480</v>
      </c>
      <c r="B1489" s="8" t="s">
        <v>1844</v>
      </c>
      <c r="C1489" s="35" t="s">
        <v>401</v>
      </c>
      <c r="D1489" s="36" t="s">
        <v>37</v>
      </c>
      <c r="E1489" s="37" t="s">
        <v>779</v>
      </c>
      <c r="F1489" s="35" t="s">
        <v>1518</v>
      </c>
      <c r="G1489" s="7"/>
      <c r="H1489" s="7"/>
      <c r="I1489" s="12"/>
    </row>
    <row r="1490" spans="1:9" ht="38.25" x14ac:dyDescent="0.2">
      <c r="A1490" s="35" t="str">
        <f>HYPERLINK("https://mississippidhs.jamacloud.com/perspective.req?projectId=53&amp;docId=29422","LSRP-SHRQ-1481")</f>
        <v>LSRP-SHRQ-1481</v>
      </c>
      <c r="B1490" s="8" t="s">
        <v>1845</v>
      </c>
      <c r="C1490" s="35" t="s">
        <v>401</v>
      </c>
      <c r="D1490" s="36" t="s">
        <v>37</v>
      </c>
      <c r="E1490" s="37" t="s">
        <v>779</v>
      </c>
      <c r="F1490" s="35" t="s">
        <v>545</v>
      </c>
      <c r="G1490" s="7"/>
      <c r="H1490" s="7"/>
      <c r="I1490" s="12"/>
    </row>
    <row r="1491" spans="1:9" ht="25.5" x14ac:dyDescent="0.2">
      <c r="A1491" s="35" t="str">
        <f>HYPERLINK("https://mississippidhs.jamacloud.com/perspective.req?projectId=53&amp;docId=29423","LSRP-SHRQ-1482")</f>
        <v>LSRP-SHRQ-1482</v>
      </c>
      <c r="B1491" s="8" t="s">
        <v>1846</v>
      </c>
      <c r="C1491" s="35" t="s">
        <v>401</v>
      </c>
      <c r="D1491" s="36" t="s">
        <v>37</v>
      </c>
      <c r="E1491" s="37" t="s">
        <v>779</v>
      </c>
      <c r="F1491" s="35" t="s">
        <v>545</v>
      </c>
      <c r="G1491" s="7"/>
      <c r="H1491" s="7"/>
      <c r="I1491" s="12"/>
    </row>
    <row r="1492" spans="1:9" ht="25.5" x14ac:dyDescent="0.2">
      <c r="A1492" s="35" t="str">
        <f>HYPERLINK("https://mississippidhs.jamacloud.com/perspective.req?projectId=53&amp;docId=29424","LSRP-SHRQ-1483")</f>
        <v>LSRP-SHRQ-1483</v>
      </c>
      <c r="B1492" s="8" t="s">
        <v>1847</v>
      </c>
      <c r="C1492" s="35" t="s">
        <v>401</v>
      </c>
      <c r="D1492" s="36" t="s">
        <v>37</v>
      </c>
      <c r="E1492" s="37" t="s">
        <v>779</v>
      </c>
      <c r="F1492" s="35" t="s">
        <v>545</v>
      </c>
      <c r="G1492" s="7"/>
      <c r="H1492" s="7"/>
      <c r="I1492" s="12"/>
    </row>
    <row r="1493" spans="1:9" ht="25.5" x14ac:dyDescent="0.2">
      <c r="A1493" s="35" t="str">
        <f>HYPERLINK("https://mississippidhs.jamacloud.com/perspective.req?projectId=53&amp;docId=29425","LSRP-SHRQ-1484")</f>
        <v>LSRP-SHRQ-1484</v>
      </c>
      <c r="B1493" s="8" t="s">
        <v>1848</v>
      </c>
      <c r="C1493" s="35" t="s">
        <v>401</v>
      </c>
      <c r="D1493" s="36" t="s">
        <v>37</v>
      </c>
      <c r="E1493" s="37" t="s">
        <v>779</v>
      </c>
      <c r="F1493" s="35" t="s">
        <v>545</v>
      </c>
      <c r="G1493" s="7"/>
      <c r="H1493" s="7"/>
      <c r="I1493" s="12"/>
    </row>
    <row r="1494" spans="1:9" ht="25.5" x14ac:dyDescent="0.2">
      <c r="A1494" s="35" t="str">
        <f>HYPERLINK("https://mississippidhs.jamacloud.com/perspective.req?projectId=53&amp;docId=29426","LSRP-SHRQ-1485")</f>
        <v>LSRP-SHRQ-1485</v>
      </c>
      <c r="B1494" s="8" t="s">
        <v>1849</v>
      </c>
      <c r="C1494" s="35" t="s">
        <v>401</v>
      </c>
      <c r="D1494" s="36" t="s">
        <v>37</v>
      </c>
      <c r="E1494" s="37" t="s">
        <v>779</v>
      </c>
      <c r="F1494" s="35" t="s">
        <v>545</v>
      </c>
      <c r="G1494" s="7"/>
      <c r="H1494" s="7"/>
      <c r="I1494" s="12"/>
    </row>
    <row r="1495" spans="1:9" ht="25.5" x14ac:dyDescent="0.2">
      <c r="A1495" s="35" t="str">
        <f>HYPERLINK("https://mississippidhs.jamacloud.com/perspective.req?projectId=53&amp;docId=29427","LSRP-SHRQ-1486")</f>
        <v>LSRP-SHRQ-1486</v>
      </c>
      <c r="B1495" s="8" t="s">
        <v>1850</v>
      </c>
      <c r="C1495" s="35" t="s">
        <v>401</v>
      </c>
      <c r="D1495" s="36" t="s">
        <v>37</v>
      </c>
      <c r="E1495" s="37" t="s">
        <v>779</v>
      </c>
      <c r="F1495" s="35" t="s">
        <v>545</v>
      </c>
      <c r="G1495" s="7"/>
      <c r="H1495" s="7"/>
      <c r="I1495" s="12"/>
    </row>
    <row r="1496" spans="1:9" ht="25.5" x14ac:dyDescent="0.2">
      <c r="A1496" s="35" t="str">
        <f>HYPERLINK("https://mississippidhs.jamacloud.com/perspective.req?projectId=53&amp;docId=29428","LSRP-SHRQ-1487")</f>
        <v>LSRP-SHRQ-1487</v>
      </c>
      <c r="B1496" s="8" t="s">
        <v>1851</v>
      </c>
      <c r="C1496" s="35" t="s">
        <v>401</v>
      </c>
      <c r="D1496" s="36" t="s">
        <v>37</v>
      </c>
      <c r="E1496" s="37" t="s">
        <v>779</v>
      </c>
      <c r="F1496" s="35" t="s">
        <v>545</v>
      </c>
      <c r="G1496" s="7"/>
      <c r="H1496" s="7"/>
      <c r="I1496" s="12"/>
    </row>
    <row r="1497" spans="1:9" ht="25.5" x14ac:dyDescent="0.2">
      <c r="A1497" s="35" t="str">
        <f>HYPERLINK("https://mississippidhs.jamacloud.com/perspective.req?projectId=53&amp;docId=29429","LSRP-SHRQ-1488")</f>
        <v>LSRP-SHRQ-1488</v>
      </c>
      <c r="B1497" s="8" t="s">
        <v>1852</v>
      </c>
      <c r="C1497" s="35" t="s">
        <v>401</v>
      </c>
      <c r="D1497" s="36" t="s">
        <v>37</v>
      </c>
      <c r="E1497" s="37" t="s">
        <v>779</v>
      </c>
      <c r="F1497" s="35" t="s">
        <v>545</v>
      </c>
      <c r="G1497" s="7"/>
      <c r="H1497" s="7"/>
      <c r="I1497" s="12"/>
    </row>
    <row r="1498" spans="1:9" ht="25.5" x14ac:dyDescent="0.2">
      <c r="A1498" s="35" t="str">
        <f>HYPERLINK("https://mississippidhs.jamacloud.com/perspective.req?projectId=53&amp;docId=29430","LSRP-SHRQ-1489")</f>
        <v>LSRP-SHRQ-1489</v>
      </c>
      <c r="B1498" s="8" t="s">
        <v>1853</v>
      </c>
      <c r="C1498" s="35" t="s">
        <v>401</v>
      </c>
      <c r="D1498" s="36" t="s">
        <v>37</v>
      </c>
      <c r="E1498" s="37" t="s">
        <v>779</v>
      </c>
      <c r="F1498" s="35" t="s">
        <v>545</v>
      </c>
      <c r="G1498" s="7"/>
      <c r="H1498" s="7"/>
      <c r="I1498" s="12"/>
    </row>
    <row r="1499" spans="1:9" ht="38.25" x14ac:dyDescent="0.2">
      <c r="A1499" s="35" t="str">
        <f>HYPERLINK("https://mississippidhs.jamacloud.com/perspective.req?projectId=53&amp;docId=29431","LSRP-SHRQ-1490")</f>
        <v>LSRP-SHRQ-1490</v>
      </c>
      <c r="B1499" s="8" t="s">
        <v>1854</v>
      </c>
      <c r="C1499" s="35" t="s">
        <v>401</v>
      </c>
      <c r="D1499" s="36" t="s">
        <v>37</v>
      </c>
      <c r="E1499" s="37" t="s">
        <v>779</v>
      </c>
      <c r="F1499" s="35" t="s">
        <v>550</v>
      </c>
      <c r="G1499" s="7"/>
      <c r="H1499" s="7"/>
      <c r="I1499" s="12"/>
    </row>
    <row r="1500" spans="1:9" ht="25.5" x14ac:dyDescent="0.2">
      <c r="A1500" s="35" t="str">
        <f>HYPERLINK("https://mississippidhs.jamacloud.com/perspective.req?projectId=53&amp;docId=29432","LSRP-SHRQ-1491")</f>
        <v>LSRP-SHRQ-1491</v>
      </c>
      <c r="B1500" s="8" t="s">
        <v>1855</v>
      </c>
      <c r="C1500" s="35" t="s">
        <v>401</v>
      </c>
      <c r="D1500" s="36" t="s">
        <v>37</v>
      </c>
      <c r="E1500" s="37" t="s">
        <v>779</v>
      </c>
      <c r="F1500" s="35" t="s">
        <v>1020</v>
      </c>
      <c r="G1500" s="7"/>
      <c r="H1500" s="7"/>
      <c r="I1500" s="12"/>
    </row>
    <row r="1501" spans="1:9" ht="25.5" x14ac:dyDescent="0.2">
      <c r="A1501" s="35" t="str">
        <f>HYPERLINK("https://mississippidhs.jamacloud.com/perspective.req?projectId=53&amp;docId=29433","LSRP-SHRQ-1492")</f>
        <v>LSRP-SHRQ-1492</v>
      </c>
      <c r="B1501" s="8" t="s">
        <v>1856</v>
      </c>
      <c r="C1501" s="35" t="s">
        <v>401</v>
      </c>
      <c r="D1501" s="36" t="s">
        <v>37</v>
      </c>
      <c r="E1501" s="37" t="s">
        <v>779</v>
      </c>
      <c r="F1501" s="35" t="s">
        <v>1020</v>
      </c>
      <c r="G1501" s="7"/>
      <c r="H1501" s="7"/>
      <c r="I1501" s="12"/>
    </row>
    <row r="1502" spans="1:9" ht="25.5" x14ac:dyDescent="0.2">
      <c r="A1502" s="35" t="str">
        <f>HYPERLINK("https://mississippidhs.jamacloud.com/perspective.req?projectId=53&amp;docId=29434","LSRP-SHRQ-1493")</f>
        <v>LSRP-SHRQ-1493</v>
      </c>
      <c r="B1502" s="8" t="s">
        <v>1857</v>
      </c>
      <c r="C1502" s="35" t="s">
        <v>401</v>
      </c>
      <c r="D1502" s="36" t="s">
        <v>37</v>
      </c>
      <c r="E1502" s="37" t="s">
        <v>779</v>
      </c>
      <c r="F1502" s="35" t="s">
        <v>545</v>
      </c>
      <c r="G1502" s="7"/>
      <c r="H1502" s="7"/>
      <c r="I1502" s="12"/>
    </row>
    <row r="1503" spans="1:9" ht="25.5" x14ac:dyDescent="0.2">
      <c r="A1503" s="35" t="str">
        <f>HYPERLINK("https://mississippidhs.jamacloud.com/perspective.req?projectId=53&amp;docId=29435","LSRP-SHRQ-1494")</f>
        <v>LSRP-SHRQ-1494</v>
      </c>
      <c r="B1503" s="8" t="s">
        <v>1858</v>
      </c>
      <c r="C1503" s="35" t="s">
        <v>401</v>
      </c>
      <c r="D1503" s="36" t="s">
        <v>37</v>
      </c>
      <c r="E1503" s="37" t="s">
        <v>779</v>
      </c>
      <c r="F1503" s="35" t="s">
        <v>420</v>
      </c>
      <c r="G1503" s="7"/>
      <c r="H1503" s="7"/>
      <c r="I1503" s="12"/>
    </row>
    <row r="1504" spans="1:9" ht="14.25" x14ac:dyDescent="0.2">
      <c r="A1504" s="35" t="str">
        <f>HYPERLINK("https://mississippidhs.jamacloud.com/perspective.req?projectId=53&amp;docId=29436","LSRP-SHRQ-1495")</f>
        <v>LSRP-SHRQ-1495</v>
      </c>
      <c r="B1504" s="8" t="s">
        <v>1859</v>
      </c>
      <c r="C1504" s="35" t="s">
        <v>401</v>
      </c>
      <c r="D1504" s="36" t="s">
        <v>37</v>
      </c>
      <c r="E1504" s="37" t="s">
        <v>779</v>
      </c>
      <c r="F1504" s="35" t="s">
        <v>545</v>
      </c>
      <c r="G1504" s="7"/>
      <c r="H1504" s="7"/>
      <c r="I1504" s="12"/>
    </row>
    <row r="1505" spans="1:9" ht="25.5" x14ac:dyDescent="0.2">
      <c r="A1505" s="35" t="str">
        <f>HYPERLINK("https://mississippidhs.jamacloud.com/perspective.req?projectId=53&amp;docId=29437","LSRP-SHRQ-1496")</f>
        <v>LSRP-SHRQ-1496</v>
      </c>
      <c r="B1505" s="8" t="s">
        <v>1860</v>
      </c>
      <c r="C1505" s="35" t="s">
        <v>401</v>
      </c>
      <c r="D1505" s="36" t="s">
        <v>37</v>
      </c>
      <c r="E1505" s="37" t="s">
        <v>779</v>
      </c>
      <c r="F1505" s="35" t="s">
        <v>545</v>
      </c>
      <c r="G1505" s="7"/>
      <c r="H1505" s="7"/>
      <c r="I1505" s="12"/>
    </row>
    <row r="1506" spans="1:9" ht="25.5" x14ac:dyDescent="0.2">
      <c r="A1506" s="35" t="str">
        <f>HYPERLINK("https://mississippidhs.jamacloud.com/perspective.req?projectId=53&amp;docId=29438","LSRP-SHRQ-1497")</f>
        <v>LSRP-SHRQ-1497</v>
      </c>
      <c r="B1506" s="8" t="s">
        <v>1861</v>
      </c>
      <c r="C1506" s="35" t="s">
        <v>401</v>
      </c>
      <c r="D1506" s="36" t="s">
        <v>37</v>
      </c>
      <c r="E1506" s="37" t="s">
        <v>779</v>
      </c>
      <c r="F1506" s="35" t="s">
        <v>545</v>
      </c>
      <c r="G1506" s="7"/>
      <c r="H1506" s="7"/>
      <c r="I1506" s="12"/>
    </row>
    <row r="1507" spans="1:9" ht="25.5" x14ac:dyDescent="0.2">
      <c r="A1507" s="35" t="str">
        <f>HYPERLINK("https://mississippidhs.jamacloud.com/perspective.req?projectId=53&amp;docId=29439","LSRP-SHRQ-1498")</f>
        <v>LSRP-SHRQ-1498</v>
      </c>
      <c r="B1507" s="8" t="s">
        <v>1862</v>
      </c>
      <c r="C1507" s="35" t="s">
        <v>401</v>
      </c>
      <c r="D1507" s="36" t="s">
        <v>37</v>
      </c>
      <c r="E1507" s="37" t="s">
        <v>779</v>
      </c>
      <c r="F1507" s="35" t="s">
        <v>545</v>
      </c>
      <c r="G1507" s="7"/>
      <c r="H1507" s="7"/>
      <c r="I1507" s="12"/>
    </row>
    <row r="1508" spans="1:9" ht="38.25" x14ac:dyDescent="0.2">
      <c r="A1508" s="35" t="str">
        <f>HYPERLINK("https://mississippidhs.jamacloud.com/perspective.req?projectId=53&amp;docId=29440","LSRP-SHRQ-1499")</f>
        <v>LSRP-SHRQ-1499</v>
      </c>
      <c r="B1508" s="8" t="s">
        <v>1863</v>
      </c>
      <c r="C1508" s="35" t="s">
        <v>401</v>
      </c>
      <c r="D1508" s="36" t="s">
        <v>37</v>
      </c>
      <c r="E1508" s="37" t="s">
        <v>779</v>
      </c>
      <c r="F1508" s="35" t="s">
        <v>545</v>
      </c>
      <c r="G1508" s="7"/>
      <c r="H1508" s="7"/>
      <c r="I1508" s="12"/>
    </row>
    <row r="1509" spans="1:9" ht="25.5" x14ac:dyDescent="0.2">
      <c r="A1509" s="35" t="str">
        <f>HYPERLINK("https://mississippidhs.jamacloud.com/perspective.req?projectId=53&amp;docId=29441","LSRP-SHRQ-1500")</f>
        <v>LSRP-SHRQ-1500</v>
      </c>
      <c r="B1509" s="8" t="s">
        <v>1864</v>
      </c>
      <c r="C1509" s="35" t="s">
        <v>401</v>
      </c>
      <c r="D1509" s="36" t="s">
        <v>37</v>
      </c>
      <c r="E1509" s="37" t="s">
        <v>779</v>
      </c>
      <c r="F1509" s="35" t="s">
        <v>545</v>
      </c>
      <c r="G1509" s="7"/>
      <c r="H1509" s="7"/>
      <c r="I1509" s="12"/>
    </row>
    <row r="1510" spans="1:9" ht="38.25" x14ac:dyDescent="0.2">
      <c r="A1510" s="35" t="str">
        <f>HYPERLINK("https://mississippidhs.jamacloud.com/perspective.req?projectId=53&amp;docId=29442","LSRP-SHRQ-1501")</f>
        <v>LSRP-SHRQ-1501</v>
      </c>
      <c r="B1510" s="8" t="s">
        <v>1865</v>
      </c>
      <c r="C1510" s="35" t="s">
        <v>401</v>
      </c>
      <c r="D1510" s="36" t="s">
        <v>37</v>
      </c>
      <c r="E1510" s="37" t="s">
        <v>779</v>
      </c>
      <c r="F1510" s="35" t="s">
        <v>425</v>
      </c>
      <c r="G1510" s="7"/>
      <c r="H1510" s="7"/>
      <c r="I1510" s="12"/>
    </row>
    <row r="1511" spans="1:9" ht="25.5" x14ac:dyDescent="0.2">
      <c r="A1511" s="35" t="str">
        <f>HYPERLINK("https://mississippidhs.jamacloud.com/perspective.req?projectId=53&amp;docId=29443","LSRP-SHRQ-1502")</f>
        <v>LSRP-SHRQ-1502</v>
      </c>
      <c r="B1511" s="8" t="s">
        <v>1866</v>
      </c>
      <c r="C1511" s="35" t="s">
        <v>401</v>
      </c>
      <c r="D1511" s="36" t="s">
        <v>37</v>
      </c>
      <c r="E1511" s="37" t="s">
        <v>779</v>
      </c>
      <c r="F1511" s="35" t="s">
        <v>322</v>
      </c>
      <c r="G1511" s="7"/>
      <c r="H1511" s="7"/>
      <c r="I1511" s="12"/>
    </row>
    <row r="1512" spans="1:9" ht="38.25" x14ac:dyDescent="0.2">
      <c r="A1512" s="35" t="str">
        <f>HYPERLINK("https://mississippidhs.jamacloud.com/perspective.req?projectId=53&amp;docId=29444","LSRP-SHRQ-1503")</f>
        <v>LSRP-SHRQ-1503</v>
      </c>
      <c r="B1512" s="8" t="s">
        <v>1867</v>
      </c>
      <c r="C1512" s="35" t="s">
        <v>401</v>
      </c>
      <c r="D1512" s="36" t="s">
        <v>37</v>
      </c>
      <c r="E1512" s="37" t="s">
        <v>779</v>
      </c>
      <c r="F1512" s="35" t="s">
        <v>322</v>
      </c>
      <c r="G1512" s="7"/>
      <c r="H1512" s="7"/>
      <c r="I1512" s="12"/>
    </row>
    <row r="1513" spans="1:9" ht="38.25" x14ac:dyDescent="0.2">
      <c r="A1513" s="35" t="str">
        <f>HYPERLINK("https://mississippidhs.jamacloud.com/perspective.req?projectId=53&amp;docId=29445","LSRP-SHRQ-1504")</f>
        <v>LSRP-SHRQ-1504</v>
      </c>
      <c r="B1513" s="8" t="s">
        <v>1868</v>
      </c>
      <c r="C1513" s="35" t="s">
        <v>401</v>
      </c>
      <c r="D1513" s="36" t="s">
        <v>37</v>
      </c>
      <c r="E1513" s="37" t="s">
        <v>779</v>
      </c>
      <c r="F1513" s="35" t="s">
        <v>425</v>
      </c>
      <c r="G1513" s="7"/>
      <c r="H1513" s="7"/>
      <c r="I1513" s="12"/>
    </row>
    <row r="1514" spans="1:9" ht="51" x14ac:dyDescent="0.2">
      <c r="A1514" s="35" t="str">
        <f>HYPERLINK("https://mississippidhs.jamacloud.com/perspective.req?projectId=53&amp;docId=29446","LSRP-SHRQ-1505")</f>
        <v>LSRP-SHRQ-1505</v>
      </c>
      <c r="B1514" s="8" t="s">
        <v>1869</v>
      </c>
      <c r="C1514" s="35" t="s">
        <v>401</v>
      </c>
      <c r="D1514" s="36" t="s">
        <v>37</v>
      </c>
      <c r="E1514" s="37" t="s">
        <v>779</v>
      </c>
      <c r="F1514" s="35" t="s">
        <v>394</v>
      </c>
      <c r="G1514" s="7"/>
      <c r="H1514" s="7"/>
      <c r="I1514" s="12"/>
    </row>
    <row r="1515" spans="1:9" ht="25.5" x14ac:dyDescent="0.2">
      <c r="A1515" s="35" t="str">
        <f>HYPERLINK("https://mississippidhs.jamacloud.com/perspective.req?projectId=53&amp;docId=29447","LSRP-SHRQ-1506")</f>
        <v>LSRP-SHRQ-1506</v>
      </c>
      <c r="B1515" s="8" t="s">
        <v>1870</v>
      </c>
      <c r="C1515" s="35" t="s">
        <v>401</v>
      </c>
      <c r="D1515" s="36" t="s">
        <v>37</v>
      </c>
      <c r="E1515" s="37" t="s">
        <v>779</v>
      </c>
      <c r="F1515" s="35" t="s">
        <v>578</v>
      </c>
      <c r="G1515" s="7"/>
      <c r="H1515" s="7"/>
      <c r="I1515" s="12"/>
    </row>
    <row r="1516" spans="1:9" ht="25.5" x14ac:dyDescent="0.2">
      <c r="A1516" s="35" t="str">
        <f>HYPERLINK("https://mississippidhs.jamacloud.com/perspective.req?projectId=53&amp;docId=29448","LSRP-SHRQ-1507")</f>
        <v>LSRP-SHRQ-1507</v>
      </c>
      <c r="B1516" s="8" t="s">
        <v>1871</v>
      </c>
      <c r="C1516" s="35" t="s">
        <v>401</v>
      </c>
      <c r="D1516" s="36" t="s">
        <v>37</v>
      </c>
      <c r="E1516" s="37" t="s">
        <v>779</v>
      </c>
      <c r="F1516" s="35" t="s">
        <v>322</v>
      </c>
      <c r="G1516" s="7"/>
      <c r="H1516" s="7"/>
      <c r="I1516" s="12"/>
    </row>
    <row r="1517" spans="1:9" ht="25.5" x14ac:dyDescent="0.2">
      <c r="A1517" s="35" t="str">
        <f>HYPERLINK("https://mississippidhs.jamacloud.com/perspective.req?projectId=53&amp;docId=29449","LSRP-SHRQ-1508")</f>
        <v>LSRP-SHRQ-1508</v>
      </c>
      <c r="B1517" s="8" t="s">
        <v>1872</v>
      </c>
      <c r="C1517" s="35" t="s">
        <v>401</v>
      </c>
      <c r="D1517" s="36" t="s">
        <v>37</v>
      </c>
      <c r="E1517" s="37" t="s">
        <v>779</v>
      </c>
      <c r="F1517" s="35" t="s">
        <v>322</v>
      </c>
      <c r="G1517" s="7"/>
      <c r="H1517" s="7"/>
      <c r="I1517" s="12"/>
    </row>
    <row r="1518" spans="1:9" ht="25.5" x14ac:dyDescent="0.2">
      <c r="A1518" s="35" t="str">
        <f>HYPERLINK("https://mississippidhs.jamacloud.com/perspective.req?projectId=53&amp;docId=29450","LSRP-SHRQ-1509")</f>
        <v>LSRP-SHRQ-1509</v>
      </c>
      <c r="B1518" s="8" t="s">
        <v>1873</v>
      </c>
      <c r="C1518" s="35" t="s">
        <v>401</v>
      </c>
      <c r="D1518" s="36" t="s">
        <v>37</v>
      </c>
      <c r="E1518" s="37" t="s">
        <v>779</v>
      </c>
      <c r="F1518" s="35" t="s">
        <v>322</v>
      </c>
      <c r="G1518" s="7"/>
      <c r="H1518" s="7"/>
      <c r="I1518" s="12"/>
    </row>
    <row r="1519" spans="1:9" ht="25.5" x14ac:dyDescent="0.2">
      <c r="A1519" s="35" t="str">
        <f>HYPERLINK("https://mississippidhs.jamacloud.com/perspective.req?projectId=53&amp;docId=29451","LSRP-SHRQ-1510")</f>
        <v>LSRP-SHRQ-1510</v>
      </c>
      <c r="B1519" s="8" t="s">
        <v>1874</v>
      </c>
      <c r="C1519" s="35" t="s">
        <v>401</v>
      </c>
      <c r="D1519" s="36" t="s">
        <v>37</v>
      </c>
      <c r="E1519" s="37" t="s">
        <v>779</v>
      </c>
      <c r="F1519" s="35" t="s">
        <v>322</v>
      </c>
      <c r="G1519" s="7"/>
      <c r="H1519" s="7"/>
      <c r="I1519" s="12"/>
    </row>
    <row r="1520" spans="1:9" ht="25.5" x14ac:dyDescent="0.2">
      <c r="A1520" s="35" t="str">
        <f>HYPERLINK("https://mississippidhs.jamacloud.com/perspective.req?projectId=53&amp;docId=29452","LSRP-SHRQ-1511")</f>
        <v>LSRP-SHRQ-1511</v>
      </c>
      <c r="B1520" s="8" t="s">
        <v>1875</v>
      </c>
      <c r="C1520" s="35" t="s">
        <v>401</v>
      </c>
      <c r="D1520" s="36" t="s">
        <v>37</v>
      </c>
      <c r="E1520" s="37" t="s">
        <v>779</v>
      </c>
      <c r="F1520" s="35" t="s">
        <v>425</v>
      </c>
      <c r="G1520" s="7"/>
      <c r="H1520" s="7"/>
      <c r="I1520" s="12"/>
    </row>
    <row r="1521" spans="1:9" ht="51" x14ac:dyDescent="0.2">
      <c r="A1521" s="35" t="str">
        <f>HYPERLINK("https://mississippidhs.jamacloud.com/perspective.req?projectId=53&amp;docId=29453","LSRP-SHRQ-1512")</f>
        <v>LSRP-SHRQ-1512</v>
      </c>
      <c r="B1521" s="8" t="s">
        <v>1876</v>
      </c>
      <c r="C1521" s="35" t="s">
        <v>401</v>
      </c>
      <c r="D1521" s="36" t="s">
        <v>37</v>
      </c>
      <c r="E1521" s="37" t="s">
        <v>779</v>
      </c>
      <c r="F1521" s="35" t="s">
        <v>322</v>
      </c>
      <c r="G1521" s="7"/>
      <c r="H1521" s="7"/>
      <c r="I1521" s="12"/>
    </row>
    <row r="1522" spans="1:9" ht="51" x14ac:dyDescent="0.2">
      <c r="A1522" s="35" t="str">
        <f>HYPERLINK("https://mississippidhs.jamacloud.com/perspective.req?projectId=53&amp;docId=29454","LSRP-SHRQ-1513")</f>
        <v>LSRP-SHRQ-1513</v>
      </c>
      <c r="B1522" s="8" t="s">
        <v>1877</v>
      </c>
      <c r="C1522" s="35" t="s">
        <v>401</v>
      </c>
      <c r="D1522" s="36" t="s">
        <v>37</v>
      </c>
      <c r="E1522" s="37" t="s">
        <v>779</v>
      </c>
      <c r="F1522" s="35" t="s">
        <v>322</v>
      </c>
      <c r="G1522" s="7"/>
      <c r="H1522" s="7"/>
      <c r="I1522" s="12"/>
    </row>
    <row r="1523" spans="1:9" ht="25.5" x14ac:dyDescent="0.2">
      <c r="A1523" s="35" t="str">
        <f>HYPERLINK("https://mississippidhs.jamacloud.com/perspective.req?projectId=53&amp;docId=29455","LSRP-SHRQ-1514")</f>
        <v>LSRP-SHRQ-1514</v>
      </c>
      <c r="B1523" s="8" t="s">
        <v>1878</v>
      </c>
      <c r="C1523" s="35" t="s">
        <v>401</v>
      </c>
      <c r="D1523" s="36" t="s">
        <v>37</v>
      </c>
      <c r="E1523" s="37" t="s">
        <v>779</v>
      </c>
      <c r="F1523" s="35" t="s">
        <v>322</v>
      </c>
      <c r="G1523" s="7"/>
      <c r="H1523" s="7"/>
      <c r="I1523" s="12"/>
    </row>
    <row r="1524" spans="1:9" ht="38.25" x14ac:dyDescent="0.2">
      <c r="A1524" s="35" t="str">
        <f>HYPERLINK("https://mississippidhs.jamacloud.com/perspective.req?projectId=53&amp;docId=29456","LSRP-SHRQ-1515")</f>
        <v>LSRP-SHRQ-1515</v>
      </c>
      <c r="B1524" s="8" t="s">
        <v>1879</v>
      </c>
      <c r="C1524" s="35" t="s">
        <v>401</v>
      </c>
      <c r="D1524" s="36" t="s">
        <v>37</v>
      </c>
      <c r="E1524" s="37" t="s">
        <v>779</v>
      </c>
      <c r="F1524" s="35" t="s">
        <v>425</v>
      </c>
      <c r="G1524" s="7"/>
      <c r="H1524" s="7"/>
      <c r="I1524" s="12"/>
    </row>
    <row r="1525" spans="1:9" ht="38.25" x14ac:dyDescent="0.2">
      <c r="A1525" s="35" t="str">
        <f>HYPERLINK("https://mississippidhs.jamacloud.com/perspective.req?projectId=53&amp;docId=29457","LSRP-SHRQ-1516")</f>
        <v>LSRP-SHRQ-1516</v>
      </c>
      <c r="B1525" s="8" t="s">
        <v>1880</v>
      </c>
      <c r="C1525" s="35" t="s">
        <v>401</v>
      </c>
      <c r="D1525" s="36" t="s">
        <v>37</v>
      </c>
      <c r="E1525" s="37" t="s">
        <v>779</v>
      </c>
      <c r="F1525" s="35" t="s">
        <v>425</v>
      </c>
      <c r="G1525" s="7"/>
      <c r="H1525" s="7"/>
      <c r="I1525" s="12"/>
    </row>
    <row r="1526" spans="1:9" ht="25.5" x14ac:dyDescent="0.2">
      <c r="A1526" s="35" t="str">
        <f>HYPERLINK("https://mississippidhs.jamacloud.com/perspective.req?projectId=53&amp;docId=29458","LSRP-SHRQ-1517")</f>
        <v>LSRP-SHRQ-1517</v>
      </c>
      <c r="B1526" s="8" t="s">
        <v>1881</v>
      </c>
      <c r="C1526" s="35" t="s">
        <v>401</v>
      </c>
      <c r="D1526" s="36" t="s">
        <v>37</v>
      </c>
      <c r="E1526" s="37" t="s">
        <v>779</v>
      </c>
      <c r="F1526" s="35" t="s">
        <v>322</v>
      </c>
      <c r="G1526" s="7"/>
      <c r="H1526" s="7"/>
      <c r="I1526" s="12"/>
    </row>
    <row r="1527" spans="1:9" ht="25.5" x14ac:dyDescent="0.2">
      <c r="A1527" s="35" t="str">
        <f>HYPERLINK("https://mississippidhs.jamacloud.com/perspective.req?projectId=53&amp;docId=29459","LSRP-SHRQ-1518")</f>
        <v>LSRP-SHRQ-1518</v>
      </c>
      <c r="B1527" s="8" t="s">
        <v>1882</v>
      </c>
      <c r="C1527" s="35" t="s">
        <v>401</v>
      </c>
      <c r="D1527" s="36" t="s">
        <v>37</v>
      </c>
      <c r="E1527" s="37" t="s">
        <v>779</v>
      </c>
      <c r="F1527" s="35" t="s">
        <v>392</v>
      </c>
      <c r="G1527" s="7"/>
      <c r="H1527" s="7"/>
      <c r="I1527" s="12"/>
    </row>
    <row r="1528" spans="1:9" ht="38.25" x14ac:dyDescent="0.2">
      <c r="A1528" s="35" t="str">
        <f>HYPERLINK("https://mississippidhs.jamacloud.com/perspective.req?projectId=53&amp;docId=29460","LSRP-SHRQ-1519")</f>
        <v>LSRP-SHRQ-1519</v>
      </c>
      <c r="B1528" s="8" t="s">
        <v>1883</v>
      </c>
      <c r="C1528" s="35" t="s">
        <v>401</v>
      </c>
      <c r="D1528" s="36" t="s">
        <v>37</v>
      </c>
      <c r="E1528" s="37" t="s">
        <v>779</v>
      </c>
      <c r="F1528" s="35" t="s">
        <v>322</v>
      </c>
      <c r="G1528" s="7"/>
      <c r="H1528" s="7"/>
      <c r="I1528" s="12"/>
    </row>
    <row r="1529" spans="1:9" ht="25.5" x14ac:dyDescent="0.2">
      <c r="A1529" s="35" t="str">
        <f>HYPERLINK("https://mississippidhs.jamacloud.com/perspective.req?projectId=53&amp;docId=29461","LSRP-SHRQ-1520")</f>
        <v>LSRP-SHRQ-1520</v>
      </c>
      <c r="B1529" s="8" t="s">
        <v>1884</v>
      </c>
      <c r="C1529" s="35" t="s">
        <v>401</v>
      </c>
      <c r="D1529" s="36" t="s">
        <v>37</v>
      </c>
      <c r="E1529" s="37" t="s">
        <v>779</v>
      </c>
      <c r="F1529" s="35" t="s">
        <v>422</v>
      </c>
      <c r="G1529" s="7"/>
      <c r="H1529" s="7"/>
      <c r="I1529" s="12"/>
    </row>
    <row r="1530" spans="1:9" ht="14.25" x14ac:dyDescent="0.2">
      <c r="A1530" s="35" t="str">
        <f>HYPERLINK("https://mississippidhs.jamacloud.com/perspective.req?projectId=53&amp;docId=29462","LSRP-SHRQ-1521")</f>
        <v>LSRP-SHRQ-1521</v>
      </c>
      <c r="B1530" s="8" t="s">
        <v>1885</v>
      </c>
      <c r="C1530" s="35" t="s">
        <v>401</v>
      </c>
      <c r="D1530" s="36" t="s">
        <v>37</v>
      </c>
      <c r="E1530" s="37" t="s">
        <v>779</v>
      </c>
      <c r="F1530" s="35" t="s">
        <v>394</v>
      </c>
      <c r="G1530" s="7"/>
      <c r="H1530" s="7"/>
      <c r="I1530" s="12"/>
    </row>
    <row r="1531" spans="1:9" ht="14.25" x14ac:dyDescent="0.2">
      <c r="A1531" s="35" t="str">
        <f>HYPERLINK("https://mississippidhs.jamacloud.com/perspective.req?projectId=53&amp;docId=29463","LSRP-SHRQ-1522")</f>
        <v>LSRP-SHRQ-1522</v>
      </c>
      <c r="B1531" s="8" t="s">
        <v>1886</v>
      </c>
      <c r="C1531" s="35" t="s">
        <v>401</v>
      </c>
      <c r="D1531" s="36" t="s">
        <v>37</v>
      </c>
      <c r="E1531" s="37" t="s">
        <v>779</v>
      </c>
      <c r="F1531" s="35" t="s">
        <v>394</v>
      </c>
      <c r="G1531" s="7"/>
      <c r="H1531" s="7"/>
      <c r="I1531" s="12"/>
    </row>
    <row r="1532" spans="1:9" ht="38.25" x14ac:dyDescent="0.2">
      <c r="A1532" s="35" t="str">
        <f>HYPERLINK("https://mississippidhs.jamacloud.com/perspective.req?projectId=53&amp;docId=29464","LSRP-SHRQ-1523")</f>
        <v>LSRP-SHRQ-1523</v>
      </c>
      <c r="B1532" s="8" t="s">
        <v>1887</v>
      </c>
      <c r="C1532" s="35" t="s">
        <v>401</v>
      </c>
      <c r="D1532" s="36" t="s">
        <v>37</v>
      </c>
      <c r="E1532" s="37" t="s">
        <v>779</v>
      </c>
      <c r="F1532" s="35" t="s">
        <v>394</v>
      </c>
      <c r="G1532" s="7"/>
      <c r="H1532" s="7"/>
      <c r="I1532" s="12"/>
    </row>
    <row r="1533" spans="1:9" ht="25.5" x14ac:dyDescent="0.2">
      <c r="A1533" s="35" t="str">
        <f>HYPERLINK("https://mississippidhs.jamacloud.com/perspective.req?projectId=53&amp;docId=29465","LSRP-SHRQ-1524")</f>
        <v>LSRP-SHRQ-1524</v>
      </c>
      <c r="B1533" s="8" t="s">
        <v>1888</v>
      </c>
      <c r="C1533" s="35" t="s">
        <v>401</v>
      </c>
      <c r="D1533" s="36" t="s">
        <v>37</v>
      </c>
      <c r="E1533" s="37" t="s">
        <v>779</v>
      </c>
      <c r="F1533" s="35" t="s">
        <v>394</v>
      </c>
      <c r="G1533" s="7"/>
      <c r="H1533" s="7"/>
      <c r="I1533" s="12"/>
    </row>
    <row r="1534" spans="1:9" ht="38.25" x14ac:dyDescent="0.2">
      <c r="A1534" s="35" t="str">
        <f>HYPERLINK("https://mississippidhs.jamacloud.com/perspective.req?projectId=53&amp;docId=29466","LSRP-SHRQ-1525")</f>
        <v>LSRP-SHRQ-1525</v>
      </c>
      <c r="B1534" s="8" t="s">
        <v>1889</v>
      </c>
      <c r="C1534" s="35" t="s">
        <v>401</v>
      </c>
      <c r="D1534" s="36" t="s">
        <v>37</v>
      </c>
      <c r="E1534" s="37" t="s">
        <v>779</v>
      </c>
      <c r="F1534" s="35" t="s">
        <v>394</v>
      </c>
      <c r="G1534" s="7"/>
      <c r="H1534" s="7"/>
      <c r="I1534" s="12"/>
    </row>
    <row r="1535" spans="1:9" ht="38.25" x14ac:dyDescent="0.2">
      <c r="A1535" s="35" t="str">
        <f>HYPERLINK("https://mississippidhs.jamacloud.com/perspective.req?projectId=53&amp;docId=29467","LSRP-SHRQ-1526")</f>
        <v>LSRP-SHRQ-1526</v>
      </c>
      <c r="B1535" s="8" t="s">
        <v>1890</v>
      </c>
      <c r="C1535" s="35" t="s">
        <v>401</v>
      </c>
      <c r="D1535" s="36" t="s">
        <v>37</v>
      </c>
      <c r="E1535" s="37" t="s">
        <v>779</v>
      </c>
      <c r="F1535" s="35" t="s">
        <v>322</v>
      </c>
      <c r="G1535" s="7"/>
      <c r="H1535" s="7"/>
      <c r="I1535" s="12"/>
    </row>
    <row r="1536" spans="1:9" ht="38.25" x14ac:dyDescent="0.2">
      <c r="A1536" s="35" t="str">
        <f>HYPERLINK("https://mississippidhs.jamacloud.com/perspective.req?projectId=53&amp;docId=29468","LSRP-SHRQ-1527")</f>
        <v>LSRP-SHRQ-1527</v>
      </c>
      <c r="B1536" s="8" t="s">
        <v>1891</v>
      </c>
      <c r="C1536" s="35" t="s">
        <v>401</v>
      </c>
      <c r="D1536" s="36" t="s">
        <v>37</v>
      </c>
      <c r="E1536" s="37" t="s">
        <v>779</v>
      </c>
      <c r="F1536" s="35" t="s">
        <v>394</v>
      </c>
      <c r="G1536" s="7"/>
      <c r="H1536" s="7"/>
      <c r="I1536" s="12"/>
    </row>
    <row r="1537" spans="1:9" ht="25.5" x14ac:dyDescent="0.2">
      <c r="A1537" s="35" t="str">
        <f>HYPERLINK("https://mississippidhs.jamacloud.com/perspective.req?projectId=53&amp;docId=29469","LSRP-SHRQ-1528")</f>
        <v>LSRP-SHRQ-1528</v>
      </c>
      <c r="B1537" s="8" t="s">
        <v>1892</v>
      </c>
      <c r="C1537" s="35" t="s">
        <v>401</v>
      </c>
      <c r="D1537" s="36" t="s">
        <v>37</v>
      </c>
      <c r="E1537" s="37" t="s">
        <v>779</v>
      </c>
      <c r="F1537" s="35" t="s">
        <v>394</v>
      </c>
      <c r="G1537" s="7"/>
      <c r="H1537" s="7"/>
      <c r="I1537" s="12"/>
    </row>
    <row r="1538" spans="1:9" ht="63.75" x14ac:dyDescent="0.2">
      <c r="A1538" s="35" t="str">
        <f>HYPERLINK("https://mississippidhs.jamacloud.com/perspective.req?projectId=53&amp;docId=29470","LSRP-SHRQ-1529")</f>
        <v>LSRP-SHRQ-1529</v>
      </c>
      <c r="B1538" s="8" t="s">
        <v>1893</v>
      </c>
      <c r="C1538" s="35" t="s">
        <v>401</v>
      </c>
      <c r="D1538" s="36" t="s">
        <v>37</v>
      </c>
      <c r="E1538" s="37" t="s">
        <v>779</v>
      </c>
      <c r="F1538" s="35" t="s">
        <v>394</v>
      </c>
      <c r="G1538" s="7"/>
      <c r="H1538" s="7"/>
      <c r="I1538" s="12"/>
    </row>
    <row r="1539" spans="1:9" ht="38.25" x14ac:dyDescent="0.2">
      <c r="A1539" s="35" t="str">
        <f>HYPERLINK("https://mississippidhs.jamacloud.com/perspective.req?projectId=53&amp;docId=29471","LSRP-SHRQ-1530")</f>
        <v>LSRP-SHRQ-1530</v>
      </c>
      <c r="B1539" s="8" t="s">
        <v>1894</v>
      </c>
      <c r="C1539" s="35" t="s">
        <v>401</v>
      </c>
      <c r="D1539" s="36" t="s">
        <v>37</v>
      </c>
      <c r="E1539" s="37" t="s">
        <v>779</v>
      </c>
      <c r="F1539" s="35" t="s">
        <v>394</v>
      </c>
      <c r="G1539" s="7"/>
      <c r="H1539" s="7"/>
      <c r="I1539" s="12"/>
    </row>
    <row r="1540" spans="1:9" ht="38.25" x14ac:dyDescent="0.2">
      <c r="A1540" s="35" t="str">
        <f>HYPERLINK("https://mississippidhs.jamacloud.com/perspective.req?projectId=53&amp;docId=29472","LSRP-SHRQ-1531")</f>
        <v>LSRP-SHRQ-1531</v>
      </c>
      <c r="B1540" s="8" t="s">
        <v>1895</v>
      </c>
      <c r="C1540" s="35" t="s">
        <v>401</v>
      </c>
      <c r="D1540" s="36" t="s">
        <v>37</v>
      </c>
      <c r="E1540" s="37" t="s">
        <v>779</v>
      </c>
      <c r="F1540" s="35" t="s">
        <v>425</v>
      </c>
      <c r="G1540" s="7"/>
      <c r="H1540" s="7"/>
      <c r="I1540" s="12"/>
    </row>
    <row r="1541" spans="1:9" ht="25.5" x14ac:dyDescent="0.2">
      <c r="A1541" s="35" t="str">
        <f>HYPERLINK("https://mississippidhs.jamacloud.com/perspective.req?projectId=53&amp;docId=29473","LSRP-SHRQ-1532")</f>
        <v>LSRP-SHRQ-1532</v>
      </c>
      <c r="B1541" s="8" t="s">
        <v>1896</v>
      </c>
      <c r="C1541" s="35" t="s">
        <v>401</v>
      </c>
      <c r="D1541" s="36" t="s">
        <v>37</v>
      </c>
      <c r="E1541" s="37" t="s">
        <v>779</v>
      </c>
      <c r="F1541" s="35" t="s">
        <v>425</v>
      </c>
      <c r="G1541" s="7"/>
      <c r="H1541" s="7"/>
      <c r="I1541" s="12"/>
    </row>
    <row r="1542" spans="1:9" ht="38.25" x14ac:dyDescent="0.2">
      <c r="A1542" s="35" t="str">
        <f>HYPERLINK("https://mississippidhs.jamacloud.com/perspective.req?projectId=53&amp;docId=29474","LSRP-SHRQ-1533")</f>
        <v>LSRP-SHRQ-1533</v>
      </c>
      <c r="B1542" s="8" t="s">
        <v>1897</v>
      </c>
      <c r="C1542" s="35" t="s">
        <v>401</v>
      </c>
      <c r="D1542" s="36" t="s">
        <v>37</v>
      </c>
      <c r="E1542" s="37" t="s">
        <v>779</v>
      </c>
      <c r="F1542" s="35" t="s">
        <v>322</v>
      </c>
      <c r="G1542" s="7"/>
      <c r="H1542" s="7"/>
      <c r="I1542" s="12"/>
    </row>
    <row r="1543" spans="1:9" ht="38.25" x14ac:dyDescent="0.2">
      <c r="A1543" s="35" t="str">
        <f>HYPERLINK("https://mississippidhs.jamacloud.com/perspective.req?projectId=53&amp;docId=29475","LSRP-SHRQ-1534")</f>
        <v>LSRP-SHRQ-1534</v>
      </c>
      <c r="B1543" s="8" t="s">
        <v>1898</v>
      </c>
      <c r="C1543" s="35" t="s">
        <v>401</v>
      </c>
      <c r="D1543" s="36" t="s">
        <v>37</v>
      </c>
      <c r="E1543" s="37" t="s">
        <v>779</v>
      </c>
      <c r="F1543" s="35" t="s">
        <v>322</v>
      </c>
      <c r="G1543" s="7"/>
      <c r="H1543" s="7"/>
      <c r="I1543" s="12"/>
    </row>
    <row r="1544" spans="1:9" ht="14.25" x14ac:dyDescent="0.2">
      <c r="A1544" s="35" t="str">
        <f>HYPERLINK("https://mississippidhs.jamacloud.com/perspective.req?projectId=53&amp;docId=29476","LSRP-SHRQ-1535")</f>
        <v>LSRP-SHRQ-1535</v>
      </c>
      <c r="B1544" s="8" t="s">
        <v>1899</v>
      </c>
      <c r="C1544" s="35" t="s">
        <v>401</v>
      </c>
      <c r="D1544" s="36" t="s">
        <v>37</v>
      </c>
      <c r="E1544" s="37" t="s">
        <v>779</v>
      </c>
      <c r="F1544" s="35" t="s">
        <v>322</v>
      </c>
      <c r="G1544" s="7"/>
      <c r="H1544" s="7"/>
      <c r="I1544" s="12"/>
    </row>
    <row r="1545" spans="1:9" ht="38.25" x14ac:dyDescent="0.2">
      <c r="A1545" s="35" t="str">
        <f>HYPERLINK("https://mississippidhs.jamacloud.com/perspective.req?projectId=53&amp;docId=29477","LSRP-SHRQ-1536")</f>
        <v>LSRP-SHRQ-1536</v>
      </c>
      <c r="B1545" s="8" t="s">
        <v>1900</v>
      </c>
      <c r="C1545" s="35" t="s">
        <v>401</v>
      </c>
      <c r="D1545" s="36" t="s">
        <v>37</v>
      </c>
      <c r="E1545" s="37" t="s">
        <v>779</v>
      </c>
      <c r="F1545" s="35" t="s">
        <v>322</v>
      </c>
      <c r="G1545" s="7"/>
      <c r="H1545" s="7"/>
      <c r="I1545" s="12"/>
    </row>
    <row r="1546" spans="1:9" ht="25.5" x14ac:dyDescent="0.2">
      <c r="A1546" s="35" t="str">
        <f>HYPERLINK("https://mississippidhs.jamacloud.com/perspective.req?projectId=53&amp;docId=29478","LSRP-SHRQ-1537")</f>
        <v>LSRP-SHRQ-1537</v>
      </c>
      <c r="B1546" s="8" t="s">
        <v>1901</v>
      </c>
      <c r="C1546" s="35" t="s">
        <v>401</v>
      </c>
      <c r="D1546" s="36" t="s">
        <v>37</v>
      </c>
      <c r="E1546" s="37" t="s">
        <v>779</v>
      </c>
      <c r="F1546" s="35" t="s">
        <v>322</v>
      </c>
      <c r="G1546" s="7"/>
      <c r="H1546" s="7"/>
      <c r="I1546" s="12"/>
    </row>
    <row r="1547" spans="1:9" ht="51" x14ac:dyDescent="0.2">
      <c r="A1547" s="35" t="str">
        <f>HYPERLINK("https://mississippidhs.jamacloud.com/perspective.req?projectId=53&amp;docId=29479","LSRP-SHRQ-1538")</f>
        <v>LSRP-SHRQ-1538</v>
      </c>
      <c r="B1547" s="8" t="s">
        <v>1902</v>
      </c>
      <c r="C1547" s="35" t="s">
        <v>401</v>
      </c>
      <c r="D1547" s="36" t="s">
        <v>37</v>
      </c>
      <c r="E1547" s="37" t="s">
        <v>779</v>
      </c>
      <c r="F1547" s="35" t="s">
        <v>420</v>
      </c>
      <c r="G1547" s="7"/>
      <c r="H1547" s="7"/>
      <c r="I1547" s="12"/>
    </row>
    <row r="1548" spans="1:9" ht="25.5" x14ac:dyDescent="0.2">
      <c r="A1548" s="35" t="str">
        <f>HYPERLINK("https://mississippidhs.jamacloud.com/perspective.req?projectId=53&amp;docId=29480","LSRP-SHRQ-1539")</f>
        <v>LSRP-SHRQ-1539</v>
      </c>
      <c r="B1548" s="8" t="s">
        <v>1903</v>
      </c>
      <c r="C1548" s="35" t="s">
        <v>401</v>
      </c>
      <c r="D1548" s="36" t="s">
        <v>37</v>
      </c>
      <c r="E1548" s="37" t="s">
        <v>779</v>
      </c>
      <c r="F1548" s="35" t="s">
        <v>322</v>
      </c>
      <c r="G1548" s="7"/>
      <c r="H1548" s="7"/>
      <c r="I1548" s="12"/>
    </row>
    <row r="1549" spans="1:9" ht="38.25" x14ac:dyDescent="0.2">
      <c r="A1549" s="35" t="str">
        <f>HYPERLINK("https://mississippidhs.jamacloud.com/perspective.req?projectId=53&amp;docId=29481","LSRP-SHRQ-1540")</f>
        <v>LSRP-SHRQ-1540</v>
      </c>
      <c r="B1549" s="8" t="s">
        <v>1904</v>
      </c>
      <c r="C1549" s="35" t="s">
        <v>401</v>
      </c>
      <c r="D1549" s="36" t="s">
        <v>37</v>
      </c>
      <c r="E1549" s="37" t="s">
        <v>779</v>
      </c>
      <c r="F1549" s="35" t="s">
        <v>394</v>
      </c>
      <c r="G1549" s="7"/>
      <c r="H1549" s="7"/>
      <c r="I1549" s="12"/>
    </row>
    <row r="1550" spans="1:9" ht="38.25" x14ac:dyDescent="0.2">
      <c r="A1550" s="35" t="str">
        <f>HYPERLINK("https://mississippidhs.jamacloud.com/perspective.req?projectId=53&amp;docId=29482","LSRP-SHRQ-1541")</f>
        <v>LSRP-SHRQ-1541</v>
      </c>
      <c r="B1550" s="8" t="s">
        <v>1905</v>
      </c>
      <c r="C1550" s="35" t="s">
        <v>401</v>
      </c>
      <c r="D1550" s="36" t="s">
        <v>37</v>
      </c>
      <c r="E1550" s="37" t="s">
        <v>779</v>
      </c>
      <c r="F1550" s="35" t="s">
        <v>425</v>
      </c>
      <c r="G1550" s="7"/>
      <c r="H1550" s="7"/>
      <c r="I1550" s="12"/>
    </row>
    <row r="1551" spans="1:9" ht="25.5" x14ac:dyDescent="0.2">
      <c r="A1551" s="35" t="str">
        <f>HYPERLINK("https://mississippidhs.jamacloud.com/perspective.req?projectId=53&amp;docId=29483","LSRP-SHRQ-1542")</f>
        <v>LSRP-SHRQ-1542</v>
      </c>
      <c r="B1551" s="8" t="s">
        <v>1906</v>
      </c>
      <c r="C1551" s="35" t="s">
        <v>401</v>
      </c>
      <c r="D1551" s="36" t="s">
        <v>37</v>
      </c>
      <c r="E1551" s="37" t="s">
        <v>779</v>
      </c>
      <c r="F1551" s="35" t="s">
        <v>545</v>
      </c>
      <c r="G1551" s="7"/>
      <c r="H1551" s="7"/>
      <c r="I1551" s="12"/>
    </row>
    <row r="1552" spans="1:9" ht="14.25" x14ac:dyDescent="0.2">
      <c r="A1552" s="35" t="str">
        <f>HYPERLINK("https://mississippidhs.jamacloud.com/perspective.req?projectId=53&amp;docId=29484","LSRP-SHRQ-1543")</f>
        <v>LSRP-SHRQ-1543</v>
      </c>
      <c r="B1552" s="8" t="s">
        <v>1907</v>
      </c>
      <c r="C1552" s="35" t="s">
        <v>401</v>
      </c>
      <c r="D1552" s="36" t="s">
        <v>37</v>
      </c>
      <c r="E1552" s="37" t="s">
        <v>779</v>
      </c>
      <c r="F1552" s="35" t="s">
        <v>425</v>
      </c>
      <c r="G1552" s="7"/>
      <c r="H1552" s="7"/>
      <c r="I1552" s="12"/>
    </row>
    <row r="1553" spans="1:9" ht="14.25" x14ac:dyDescent="0.2">
      <c r="A1553" s="35" t="str">
        <f>HYPERLINK("https://mississippidhs.jamacloud.com/perspective.req?projectId=53&amp;docId=29485","LSRP-SHRQ-1544")</f>
        <v>LSRP-SHRQ-1544</v>
      </c>
      <c r="B1553" s="8" t="s">
        <v>1908</v>
      </c>
      <c r="C1553" s="35" t="s">
        <v>401</v>
      </c>
      <c r="D1553" s="36" t="s">
        <v>37</v>
      </c>
      <c r="E1553" s="37" t="s">
        <v>779</v>
      </c>
      <c r="F1553" s="35" t="s">
        <v>545</v>
      </c>
      <c r="G1553" s="7"/>
      <c r="H1553" s="7"/>
      <c r="I1553" s="12"/>
    </row>
    <row r="1554" spans="1:9" ht="25.5" x14ac:dyDescent="0.2">
      <c r="A1554" s="35" t="str">
        <f>HYPERLINK("https://mississippidhs.jamacloud.com/perspective.req?projectId=53&amp;docId=29486","LSRP-SHRQ-1545")</f>
        <v>LSRP-SHRQ-1545</v>
      </c>
      <c r="B1554" s="8" t="s">
        <v>1909</v>
      </c>
      <c r="C1554" s="35" t="s">
        <v>401</v>
      </c>
      <c r="D1554" s="36" t="s">
        <v>37</v>
      </c>
      <c r="E1554" s="37" t="s">
        <v>779</v>
      </c>
      <c r="F1554" s="35" t="s">
        <v>425</v>
      </c>
      <c r="G1554" s="7"/>
      <c r="H1554" s="7"/>
      <c r="I1554" s="12"/>
    </row>
    <row r="1555" spans="1:9" ht="25.5" x14ac:dyDescent="0.2">
      <c r="A1555" s="35" t="str">
        <f>HYPERLINK("https://mississippidhs.jamacloud.com/perspective.req?projectId=53&amp;docId=29487","LSRP-SHRQ-1546")</f>
        <v>LSRP-SHRQ-1546</v>
      </c>
      <c r="B1555" s="8" t="s">
        <v>1910</v>
      </c>
      <c r="C1555" s="35" t="s">
        <v>401</v>
      </c>
      <c r="D1555" s="36" t="s">
        <v>37</v>
      </c>
      <c r="E1555" s="37" t="s">
        <v>779</v>
      </c>
      <c r="F1555" s="35" t="s">
        <v>322</v>
      </c>
      <c r="G1555" s="7"/>
      <c r="H1555" s="7"/>
      <c r="I1555" s="12"/>
    </row>
    <row r="1556" spans="1:9" ht="25.5" x14ac:dyDescent="0.2">
      <c r="A1556" s="35" t="str">
        <f>HYPERLINK("https://mississippidhs.jamacloud.com/perspective.req?projectId=53&amp;docId=29488","LSRP-SHRQ-1547")</f>
        <v>LSRP-SHRQ-1547</v>
      </c>
      <c r="B1556" s="8" t="s">
        <v>1911</v>
      </c>
      <c r="C1556" s="35" t="s">
        <v>401</v>
      </c>
      <c r="D1556" s="36" t="s">
        <v>37</v>
      </c>
      <c r="E1556" s="37" t="s">
        <v>779</v>
      </c>
      <c r="F1556" s="35" t="s">
        <v>322</v>
      </c>
      <c r="G1556" s="7"/>
      <c r="H1556" s="7"/>
      <c r="I1556" s="12"/>
    </row>
    <row r="1557" spans="1:9" ht="51" x14ac:dyDescent="0.2">
      <c r="A1557" s="35" t="str">
        <f>HYPERLINK("https://mississippidhs.jamacloud.com/perspective.req?projectId=53&amp;docId=29489","LSRP-SHRQ-1548")</f>
        <v>LSRP-SHRQ-1548</v>
      </c>
      <c r="B1557" s="8" t="s">
        <v>1912</v>
      </c>
      <c r="C1557" s="35" t="s">
        <v>401</v>
      </c>
      <c r="D1557" s="36" t="s">
        <v>37</v>
      </c>
      <c r="E1557" s="37" t="s">
        <v>779</v>
      </c>
      <c r="F1557" s="35" t="s">
        <v>425</v>
      </c>
      <c r="G1557" s="7"/>
      <c r="H1557" s="7"/>
      <c r="I1557" s="12"/>
    </row>
    <row r="1558" spans="1:9" ht="25.5" x14ac:dyDescent="0.2">
      <c r="A1558" s="35" t="str">
        <f>HYPERLINK("https://mississippidhs.jamacloud.com/perspective.req?projectId=53&amp;docId=29490","LSRP-SHRQ-1549")</f>
        <v>LSRP-SHRQ-1549</v>
      </c>
      <c r="B1558" s="8" t="s">
        <v>1913</v>
      </c>
      <c r="C1558" s="35" t="s">
        <v>401</v>
      </c>
      <c r="D1558" s="36" t="s">
        <v>37</v>
      </c>
      <c r="E1558" s="37" t="s">
        <v>779</v>
      </c>
      <c r="F1558" s="35" t="s">
        <v>425</v>
      </c>
      <c r="G1558" s="7"/>
      <c r="H1558" s="7"/>
      <c r="I1558" s="12"/>
    </row>
    <row r="1559" spans="1:9" ht="25.5" x14ac:dyDescent="0.2">
      <c r="A1559" s="35" t="str">
        <f>HYPERLINK("https://mississippidhs.jamacloud.com/perspective.req?projectId=53&amp;docId=29491","LSRP-SHRQ-1550")</f>
        <v>LSRP-SHRQ-1550</v>
      </c>
      <c r="B1559" s="8" t="s">
        <v>1914</v>
      </c>
      <c r="C1559" s="35" t="s">
        <v>401</v>
      </c>
      <c r="D1559" s="36" t="s">
        <v>37</v>
      </c>
      <c r="E1559" s="37" t="s">
        <v>779</v>
      </c>
      <c r="F1559" s="35" t="s">
        <v>425</v>
      </c>
      <c r="G1559" s="7"/>
      <c r="H1559" s="7"/>
      <c r="I1559" s="12"/>
    </row>
    <row r="1560" spans="1:9" ht="51" x14ac:dyDescent="0.2">
      <c r="A1560" s="35" t="str">
        <f>HYPERLINK("https://mississippidhs.jamacloud.com/perspective.req?projectId=53&amp;docId=29492","LSRP-SHRQ-1551")</f>
        <v>LSRP-SHRQ-1551</v>
      </c>
      <c r="B1560" s="8" t="s">
        <v>1915</v>
      </c>
      <c r="C1560" s="35" t="s">
        <v>401</v>
      </c>
      <c r="D1560" s="36" t="s">
        <v>37</v>
      </c>
      <c r="E1560" s="37" t="s">
        <v>779</v>
      </c>
      <c r="F1560" s="35" t="s">
        <v>425</v>
      </c>
      <c r="G1560" s="7"/>
      <c r="H1560" s="7"/>
      <c r="I1560" s="12"/>
    </row>
    <row r="1561" spans="1:9" ht="25.5" x14ac:dyDescent="0.2">
      <c r="A1561" s="35" t="str">
        <f>HYPERLINK("https://mississippidhs.jamacloud.com/perspective.req?projectId=53&amp;docId=29493","LSRP-SHRQ-1552")</f>
        <v>LSRP-SHRQ-1552</v>
      </c>
      <c r="B1561" s="8" t="s">
        <v>1916</v>
      </c>
      <c r="C1561" s="35" t="s">
        <v>401</v>
      </c>
      <c r="D1561" s="36" t="s">
        <v>37</v>
      </c>
      <c r="E1561" s="37" t="s">
        <v>779</v>
      </c>
      <c r="F1561" s="35" t="s">
        <v>425</v>
      </c>
      <c r="G1561" s="7"/>
      <c r="H1561" s="7"/>
      <c r="I1561" s="12"/>
    </row>
    <row r="1562" spans="1:9" ht="38.25" x14ac:dyDescent="0.2">
      <c r="A1562" s="35" t="str">
        <f>HYPERLINK("https://mississippidhs.jamacloud.com/perspective.req?projectId=53&amp;docId=29494","LSRP-SHRQ-1553")</f>
        <v>LSRP-SHRQ-1553</v>
      </c>
      <c r="B1562" s="8" t="s">
        <v>1917</v>
      </c>
      <c r="C1562" s="35" t="s">
        <v>401</v>
      </c>
      <c r="D1562" s="36" t="s">
        <v>37</v>
      </c>
      <c r="E1562" s="37" t="s">
        <v>779</v>
      </c>
      <c r="F1562" s="35" t="s">
        <v>394</v>
      </c>
      <c r="G1562" s="7"/>
      <c r="H1562" s="7"/>
      <c r="I1562" s="12"/>
    </row>
    <row r="1563" spans="1:9" ht="25.5" x14ac:dyDescent="0.2">
      <c r="A1563" s="35" t="str">
        <f>HYPERLINK("https://mississippidhs.jamacloud.com/perspective.req?projectId=53&amp;docId=29495","LSRP-SHRQ-1554")</f>
        <v>LSRP-SHRQ-1554</v>
      </c>
      <c r="B1563" s="8" t="s">
        <v>1918</v>
      </c>
      <c r="C1563" s="35" t="s">
        <v>401</v>
      </c>
      <c r="D1563" s="36" t="s">
        <v>37</v>
      </c>
      <c r="E1563" s="37" t="s">
        <v>779</v>
      </c>
      <c r="F1563" s="35" t="s">
        <v>394</v>
      </c>
      <c r="G1563" s="7"/>
      <c r="H1563" s="7"/>
      <c r="I1563" s="12"/>
    </row>
    <row r="1564" spans="1:9" ht="25.5" x14ac:dyDescent="0.2">
      <c r="A1564" s="35" t="str">
        <f>HYPERLINK("https://mississippidhs.jamacloud.com/perspective.req?projectId=53&amp;docId=29496","LSRP-SHRQ-1555")</f>
        <v>LSRP-SHRQ-1555</v>
      </c>
      <c r="B1564" s="8" t="s">
        <v>1919</v>
      </c>
      <c r="C1564" s="35" t="s">
        <v>401</v>
      </c>
      <c r="D1564" s="36" t="s">
        <v>37</v>
      </c>
      <c r="E1564" s="37" t="s">
        <v>779</v>
      </c>
      <c r="F1564" s="35" t="s">
        <v>394</v>
      </c>
      <c r="G1564" s="7"/>
      <c r="H1564" s="7"/>
      <c r="I1564" s="12"/>
    </row>
    <row r="1565" spans="1:9" ht="25.5" x14ac:dyDescent="0.2">
      <c r="A1565" s="35" t="str">
        <f>HYPERLINK("https://mississippidhs.jamacloud.com/perspective.req?projectId=53&amp;docId=29497","LSRP-SHRQ-1556")</f>
        <v>LSRP-SHRQ-1556</v>
      </c>
      <c r="B1565" s="8" t="s">
        <v>1920</v>
      </c>
      <c r="C1565" s="35" t="s">
        <v>401</v>
      </c>
      <c r="D1565" s="36" t="s">
        <v>37</v>
      </c>
      <c r="E1565" s="37" t="s">
        <v>779</v>
      </c>
      <c r="F1565" s="35" t="s">
        <v>394</v>
      </c>
      <c r="G1565" s="7"/>
      <c r="H1565" s="7"/>
      <c r="I1565" s="12"/>
    </row>
    <row r="1566" spans="1:9" ht="38.25" x14ac:dyDescent="0.2">
      <c r="A1566" s="35" t="str">
        <f>HYPERLINK("https://mississippidhs.jamacloud.com/perspective.req?projectId=53&amp;docId=29498","LSRP-SHRQ-1557")</f>
        <v>LSRP-SHRQ-1557</v>
      </c>
      <c r="B1566" s="8" t="s">
        <v>1921</v>
      </c>
      <c r="C1566" s="35" t="s">
        <v>401</v>
      </c>
      <c r="D1566" s="36" t="s">
        <v>37</v>
      </c>
      <c r="E1566" s="37" t="s">
        <v>779</v>
      </c>
      <c r="F1566" s="35" t="s">
        <v>394</v>
      </c>
      <c r="G1566" s="7"/>
      <c r="H1566" s="7"/>
      <c r="I1566" s="12"/>
    </row>
    <row r="1567" spans="1:9" ht="25.5" x14ac:dyDescent="0.2">
      <c r="A1567" s="35" t="str">
        <f>HYPERLINK("https://mississippidhs.jamacloud.com/perspective.req?projectId=53&amp;docId=29499","LSRP-SHRQ-1558")</f>
        <v>LSRP-SHRQ-1558</v>
      </c>
      <c r="B1567" s="8" t="s">
        <v>1922</v>
      </c>
      <c r="C1567" s="35" t="s">
        <v>401</v>
      </c>
      <c r="D1567" s="36" t="s">
        <v>37</v>
      </c>
      <c r="E1567" s="37" t="s">
        <v>779</v>
      </c>
      <c r="F1567" s="35" t="s">
        <v>394</v>
      </c>
      <c r="G1567" s="7"/>
      <c r="H1567" s="7"/>
      <c r="I1567" s="12"/>
    </row>
    <row r="1568" spans="1:9" ht="38.25" x14ac:dyDescent="0.2">
      <c r="A1568" s="35" t="str">
        <f>HYPERLINK("https://mississippidhs.jamacloud.com/perspective.req?projectId=53&amp;docId=29500","LSRP-SHRQ-1559")</f>
        <v>LSRP-SHRQ-1559</v>
      </c>
      <c r="B1568" s="8" t="s">
        <v>1923</v>
      </c>
      <c r="C1568" s="35" t="s">
        <v>401</v>
      </c>
      <c r="D1568" s="36" t="s">
        <v>37</v>
      </c>
      <c r="E1568" s="37" t="s">
        <v>779</v>
      </c>
      <c r="F1568" s="35" t="s">
        <v>394</v>
      </c>
      <c r="G1568" s="7"/>
      <c r="H1568" s="7"/>
      <c r="I1568" s="12"/>
    </row>
    <row r="1569" spans="1:9" ht="38.25" x14ac:dyDescent="0.2">
      <c r="A1569" s="35" t="str">
        <f>HYPERLINK("https://mississippidhs.jamacloud.com/perspective.req?projectId=53&amp;docId=29501","LSRP-SHRQ-1560")</f>
        <v>LSRP-SHRQ-1560</v>
      </c>
      <c r="B1569" s="8" t="s">
        <v>1924</v>
      </c>
      <c r="C1569" s="35" t="s">
        <v>401</v>
      </c>
      <c r="D1569" s="36" t="s">
        <v>37</v>
      </c>
      <c r="E1569" s="37" t="s">
        <v>779</v>
      </c>
      <c r="F1569" s="35" t="s">
        <v>394</v>
      </c>
      <c r="G1569" s="7"/>
      <c r="H1569" s="7"/>
      <c r="I1569" s="12"/>
    </row>
    <row r="1570" spans="1:9" ht="38.25" x14ac:dyDescent="0.2">
      <c r="A1570" s="35" t="str">
        <f>HYPERLINK("https://mississippidhs.jamacloud.com/perspective.req?projectId=53&amp;docId=29502","LSRP-SHRQ-1561")</f>
        <v>LSRP-SHRQ-1561</v>
      </c>
      <c r="B1570" s="8" t="s">
        <v>1925</v>
      </c>
      <c r="C1570" s="35" t="s">
        <v>401</v>
      </c>
      <c r="D1570" s="36" t="s">
        <v>37</v>
      </c>
      <c r="E1570" s="37" t="s">
        <v>779</v>
      </c>
      <c r="F1570" s="35" t="s">
        <v>394</v>
      </c>
      <c r="G1570" s="7"/>
      <c r="H1570" s="7"/>
      <c r="I1570" s="12"/>
    </row>
    <row r="1571" spans="1:9" ht="38.25" x14ac:dyDescent="0.2">
      <c r="A1571" s="35" t="str">
        <f>HYPERLINK("https://mississippidhs.jamacloud.com/perspective.req?projectId=53&amp;docId=29503","LSRP-SHRQ-1562")</f>
        <v>LSRP-SHRQ-1562</v>
      </c>
      <c r="B1571" s="8" t="s">
        <v>1926</v>
      </c>
      <c r="C1571" s="35" t="s">
        <v>401</v>
      </c>
      <c r="D1571" s="36" t="s">
        <v>37</v>
      </c>
      <c r="E1571" s="37" t="s">
        <v>779</v>
      </c>
      <c r="F1571" s="35" t="s">
        <v>394</v>
      </c>
      <c r="G1571" s="7"/>
      <c r="H1571" s="7"/>
      <c r="I1571" s="12"/>
    </row>
    <row r="1572" spans="1:9" ht="38.25" x14ac:dyDescent="0.2">
      <c r="A1572" s="35" t="str">
        <f>HYPERLINK("https://mississippidhs.jamacloud.com/perspective.req?projectId=53&amp;docId=29504","LSRP-SHRQ-1563")</f>
        <v>LSRP-SHRQ-1563</v>
      </c>
      <c r="B1572" s="8" t="s">
        <v>1927</v>
      </c>
      <c r="C1572" s="35" t="s">
        <v>401</v>
      </c>
      <c r="D1572" s="36" t="s">
        <v>37</v>
      </c>
      <c r="E1572" s="37" t="s">
        <v>779</v>
      </c>
      <c r="F1572" s="35" t="s">
        <v>394</v>
      </c>
      <c r="G1572" s="7"/>
      <c r="H1572" s="7"/>
      <c r="I1572" s="12"/>
    </row>
    <row r="1573" spans="1:9" ht="76.5" x14ac:dyDescent="0.2">
      <c r="A1573" s="35" t="str">
        <f>HYPERLINK("https://mississippidhs.jamacloud.com/perspective.req?projectId=53&amp;docId=29505","LSRP-SHRQ-1564")</f>
        <v>LSRP-SHRQ-1564</v>
      </c>
      <c r="B1573" s="8" t="s">
        <v>1928</v>
      </c>
      <c r="C1573" s="35" t="s">
        <v>401</v>
      </c>
      <c r="D1573" s="36" t="s">
        <v>37</v>
      </c>
      <c r="E1573" s="37" t="s">
        <v>779</v>
      </c>
      <c r="F1573" s="35" t="s">
        <v>394</v>
      </c>
      <c r="G1573" s="7"/>
      <c r="H1573" s="7"/>
      <c r="I1573" s="12"/>
    </row>
    <row r="1574" spans="1:9" ht="14.25" x14ac:dyDescent="0.2">
      <c r="A1574" s="35" t="str">
        <f>HYPERLINK("https://mississippidhs.jamacloud.com/perspective.req?projectId=53&amp;docId=29506","LSRP-SHRQ-1565")</f>
        <v>LSRP-SHRQ-1565</v>
      </c>
      <c r="B1574" s="8" t="s">
        <v>1929</v>
      </c>
      <c r="C1574" s="35" t="s">
        <v>401</v>
      </c>
      <c r="D1574" s="36" t="s">
        <v>37</v>
      </c>
      <c r="E1574" s="37" t="s">
        <v>779</v>
      </c>
      <c r="F1574" s="35" t="s">
        <v>394</v>
      </c>
      <c r="G1574" s="7"/>
      <c r="H1574" s="7"/>
      <c r="I1574" s="12"/>
    </row>
    <row r="1575" spans="1:9" ht="14.25" x14ac:dyDescent="0.2">
      <c r="A1575" s="35" t="str">
        <f>HYPERLINK("https://mississippidhs.jamacloud.com/perspective.req?projectId=53&amp;docId=29507","LSRP-SHRQ-1566")</f>
        <v>LSRP-SHRQ-1566</v>
      </c>
      <c r="B1575" s="8" t="s">
        <v>1930</v>
      </c>
      <c r="C1575" s="35" t="s">
        <v>401</v>
      </c>
      <c r="D1575" s="36" t="s">
        <v>37</v>
      </c>
      <c r="E1575" s="37" t="s">
        <v>779</v>
      </c>
      <c r="F1575" s="35" t="s">
        <v>394</v>
      </c>
      <c r="G1575" s="7"/>
      <c r="H1575" s="7"/>
      <c r="I1575" s="12"/>
    </row>
    <row r="1576" spans="1:9" ht="14.25" x14ac:dyDescent="0.2">
      <c r="A1576" s="35" t="str">
        <f>HYPERLINK("https://mississippidhs.jamacloud.com/perspective.req?projectId=53&amp;docId=29508","LSRP-SHRQ-1567")</f>
        <v>LSRP-SHRQ-1567</v>
      </c>
      <c r="B1576" s="8" t="s">
        <v>1931</v>
      </c>
      <c r="C1576" s="35" t="s">
        <v>401</v>
      </c>
      <c r="D1576" s="36" t="s">
        <v>37</v>
      </c>
      <c r="E1576" s="37" t="s">
        <v>779</v>
      </c>
      <c r="F1576" s="35" t="s">
        <v>394</v>
      </c>
      <c r="G1576" s="7"/>
      <c r="H1576" s="7"/>
      <c r="I1576" s="12"/>
    </row>
    <row r="1577" spans="1:9" ht="25.5" x14ac:dyDescent="0.2">
      <c r="A1577" s="35" t="str">
        <f>HYPERLINK("https://mississippidhs.jamacloud.com/perspective.req?projectId=53&amp;docId=29509","LSRP-SHRQ-1568")</f>
        <v>LSRP-SHRQ-1568</v>
      </c>
      <c r="B1577" s="8" t="s">
        <v>1932</v>
      </c>
      <c r="C1577" s="35" t="s">
        <v>401</v>
      </c>
      <c r="D1577" s="36" t="s">
        <v>37</v>
      </c>
      <c r="E1577" s="37" t="s">
        <v>779</v>
      </c>
      <c r="F1577" s="35" t="s">
        <v>394</v>
      </c>
      <c r="G1577" s="7"/>
      <c r="H1577" s="7"/>
      <c r="I1577" s="12"/>
    </row>
    <row r="1578" spans="1:9" ht="25.5" x14ac:dyDescent="0.2">
      <c r="A1578" s="35" t="str">
        <f>HYPERLINK("https://mississippidhs.jamacloud.com/perspective.req?projectId=53&amp;docId=29510","LSRP-SHRQ-1569")</f>
        <v>LSRP-SHRQ-1569</v>
      </c>
      <c r="B1578" s="8" t="s">
        <v>1933</v>
      </c>
      <c r="C1578" s="35" t="s">
        <v>401</v>
      </c>
      <c r="D1578" s="36" t="s">
        <v>37</v>
      </c>
      <c r="E1578" s="37" t="s">
        <v>779</v>
      </c>
      <c r="F1578" s="35" t="s">
        <v>394</v>
      </c>
      <c r="G1578" s="7"/>
      <c r="H1578" s="7"/>
      <c r="I1578" s="12"/>
    </row>
    <row r="1579" spans="1:9" ht="14.25" x14ac:dyDescent="0.2">
      <c r="A1579" s="35" t="str">
        <f>HYPERLINK("https://mississippidhs.jamacloud.com/perspective.req?projectId=53&amp;docId=29511","LSRP-SHRQ-1570")</f>
        <v>LSRP-SHRQ-1570</v>
      </c>
      <c r="B1579" s="8" t="s">
        <v>1934</v>
      </c>
      <c r="C1579" s="35" t="s">
        <v>401</v>
      </c>
      <c r="D1579" s="36" t="s">
        <v>37</v>
      </c>
      <c r="E1579" s="37" t="s">
        <v>779</v>
      </c>
      <c r="F1579" s="35" t="s">
        <v>394</v>
      </c>
      <c r="G1579" s="7"/>
      <c r="H1579" s="7"/>
      <c r="I1579" s="12"/>
    </row>
    <row r="1580" spans="1:9" ht="38.25" x14ac:dyDescent="0.2">
      <c r="A1580" s="35" t="str">
        <f>HYPERLINK("https://mississippidhs.jamacloud.com/perspective.req?projectId=53&amp;docId=29512","LSRP-SHRQ-1571")</f>
        <v>LSRP-SHRQ-1571</v>
      </c>
      <c r="B1580" s="8" t="s">
        <v>1935</v>
      </c>
      <c r="C1580" s="35" t="s">
        <v>401</v>
      </c>
      <c r="D1580" s="36" t="s">
        <v>37</v>
      </c>
      <c r="E1580" s="37" t="s">
        <v>779</v>
      </c>
      <c r="F1580" s="35" t="s">
        <v>394</v>
      </c>
      <c r="G1580" s="7"/>
      <c r="H1580" s="7"/>
      <c r="I1580" s="12"/>
    </row>
    <row r="1581" spans="1:9" ht="25.5" x14ac:dyDescent="0.2">
      <c r="A1581" s="35" t="str">
        <f>HYPERLINK("https://mississippidhs.jamacloud.com/perspective.req?projectId=53&amp;docId=29513","LSRP-SHRQ-1572")</f>
        <v>LSRP-SHRQ-1572</v>
      </c>
      <c r="B1581" s="8" t="s">
        <v>1936</v>
      </c>
      <c r="C1581" s="35" t="s">
        <v>401</v>
      </c>
      <c r="D1581" s="36" t="s">
        <v>37</v>
      </c>
      <c r="E1581" s="37" t="s">
        <v>779</v>
      </c>
      <c r="F1581" s="35" t="s">
        <v>394</v>
      </c>
      <c r="G1581" s="7"/>
      <c r="H1581" s="7"/>
      <c r="I1581" s="12"/>
    </row>
    <row r="1582" spans="1:9" ht="14.25" x14ac:dyDescent="0.2">
      <c r="A1582" s="35" t="str">
        <f>HYPERLINK("https://mississippidhs.jamacloud.com/perspective.req?projectId=53&amp;docId=29514","LSRP-SHRQ-1573")</f>
        <v>LSRP-SHRQ-1573</v>
      </c>
      <c r="B1582" s="8" t="s">
        <v>1937</v>
      </c>
      <c r="C1582" s="35" t="s">
        <v>401</v>
      </c>
      <c r="D1582" s="36" t="s">
        <v>37</v>
      </c>
      <c r="E1582" s="37" t="s">
        <v>779</v>
      </c>
      <c r="F1582" s="35" t="s">
        <v>394</v>
      </c>
      <c r="G1582" s="7"/>
      <c r="H1582" s="7"/>
      <c r="I1582" s="12"/>
    </row>
    <row r="1583" spans="1:9" ht="14.25" x14ac:dyDescent="0.2">
      <c r="A1583" s="35" t="str">
        <f>HYPERLINK("https://mississippidhs.jamacloud.com/perspective.req?projectId=53&amp;docId=29515","LSRP-SHRQ-1574")</f>
        <v>LSRP-SHRQ-1574</v>
      </c>
      <c r="B1583" s="8" t="s">
        <v>1938</v>
      </c>
      <c r="C1583" s="35" t="s">
        <v>401</v>
      </c>
      <c r="D1583" s="36" t="s">
        <v>37</v>
      </c>
      <c r="E1583" s="37" t="s">
        <v>779</v>
      </c>
      <c r="F1583" s="35" t="s">
        <v>394</v>
      </c>
      <c r="G1583" s="7"/>
      <c r="H1583" s="7"/>
      <c r="I1583" s="12"/>
    </row>
    <row r="1584" spans="1:9" ht="14.25" x14ac:dyDescent="0.2">
      <c r="A1584" s="35" t="str">
        <f>HYPERLINK("https://mississippidhs.jamacloud.com/perspective.req?projectId=53&amp;docId=29516","LSRP-SHRQ-1575")</f>
        <v>LSRP-SHRQ-1575</v>
      </c>
      <c r="B1584" s="8" t="s">
        <v>1939</v>
      </c>
      <c r="C1584" s="35" t="s">
        <v>401</v>
      </c>
      <c r="D1584" s="36" t="s">
        <v>37</v>
      </c>
      <c r="E1584" s="37" t="s">
        <v>779</v>
      </c>
      <c r="F1584" s="35" t="s">
        <v>394</v>
      </c>
      <c r="G1584" s="7"/>
      <c r="H1584" s="7"/>
      <c r="I1584" s="12"/>
    </row>
    <row r="1585" spans="1:9" ht="14.25" x14ac:dyDescent="0.2">
      <c r="A1585" s="35" t="str">
        <f>HYPERLINK("https://mississippidhs.jamacloud.com/perspective.req?projectId=53&amp;docId=29517","LSRP-SHRQ-1576")</f>
        <v>LSRP-SHRQ-1576</v>
      </c>
      <c r="B1585" s="8" t="s">
        <v>1940</v>
      </c>
      <c r="C1585" s="35" t="s">
        <v>401</v>
      </c>
      <c r="D1585" s="36" t="s">
        <v>37</v>
      </c>
      <c r="E1585" s="37" t="s">
        <v>779</v>
      </c>
      <c r="F1585" s="35" t="s">
        <v>394</v>
      </c>
      <c r="G1585" s="7"/>
      <c r="H1585" s="7"/>
      <c r="I1585" s="12"/>
    </row>
    <row r="1586" spans="1:9" ht="14.25" x14ac:dyDescent="0.2">
      <c r="A1586" s="35" t="str">
        <f>HYPERLINK("https://mississippidhs.jamacloud.com/perspective.req?projectId=53&amp;docId=29518","LSRP-SHRQ-1577")</f>
        <v>LSRP-SHRQ-1577</v>
      </c>
      <c r="B1586" s="8" t="s">
        <v>1941</v>
      </c>
      <c r="C1586" s="35" t="s">
        <v>401</v>
      </c>
      <c r="D1586" s="36" t="s">
        <v>37</v>
      </c>
      <c r="E1586" s="37" t="s">
        <v>779</v>
      </c>
      <c r="F1586" s="35" t="s">
        <v>394</v>
      </c>
      <c r="G1586" s="7"/>
      <c r="H1586" s="7"/>
      <c r="I1586" s="12"/>
    </row>
    <row r="1587" spans="1:9" ht="25.5" x14ac:dyDescent="0.2">
      <c r="A1587" s="35" t="str">
        <f>HYPERLINK("https://mississippidhs.jamacloud.com/perspective.req?projectId=53&amp;docId=29519","LSRP-SHRQ-1578")</f>
        <v>LSRP-SHRQ-1578</v>
      </c>
      <c r="B1587" s="8" t="s">
        <v>1942</v>
      </c>
      <c r="C1587" s="35" t="s">
        <v>401</v>
      </c>
      <c r="D1587" s="36" t="s">
        <v>37</v>
      </c>
      <c r="E1587" s="37" t="s">
        <v>779</v>
      </c>
      <c r="F1587" s="35" t="s">
        <v>394</v>
      </c>
      <c r="G1587" s="7"/>
      <c r="H1587" s="7"/>
      <c r="I1587" s="12"/>
    </row>
    <row r="1588" spans="1:9" ht="25.5" x14ac:dyDescent="0.2">
      <c r="A1588" s="35" t="str">
        <f>HYPERLINK("https://mississippidhs.jamacloud.com/perspective.req?projectId=53&amp;docId=29520","LSRP-SHRQ-1579")</f>
        <v>LSRP-SHRQ-1579</v>
      </c>
      <c r="B1588" s="8" t="s">
        <v>1943</v>
      </c>
      <c r="C1588" s="35" t="s">
        <v>401</v>
      </c>
      <c r="D1588" s="36" t="s">
        <v>37</v>
      </c>
      <c r="E1588" s="37" t="s">
        <v>779</v>
      </c>
      <c r="F1588" s="35" t="s">
        <v>394</v>
      </c>
      <c r="G1588" s="7"/>
      <c r="H1588" s="7"/>
      <c r="I1588" s="12"/>
    </row>
    <row r="1589" spans="1:9" ht="25.5" x14ac:dyDescent="0.2">
      <c r="A1589" s="35" t="str">
        <f>HYPERLINK("https://mississippidhs.jamacloud.com/perspective.req?projectId=53&amp;docId=29521","LSRP-SHRQ-1580")</f>
        <v>LSRP-SHRQ-1580</v>
      </c>
      <c r="B1589" s="8" t="s">
        <v>1944</v>
      </c>
      <c r="C1589" s="35" t="s">
        <v>401</v>
      </c>
      <c r="D1589" s="36" t="s">
        <v>37</v>
      </c>
      <c r="E1589" s="37" t="s">
        <v>779</v>
      </c>
      <c r="F1589" s="35" t="s">
        <v>322</v>
      </c>
      <c r="G1589" s="7"/>
      <c r="H1589" s="7"/>
      <c r="I1589" s="12"/>
    </row>
    <row r="1590" spans="1:9" ht="51" x14ac:dyDescent="0.2">
      <c r="A1590" s="35" t="str">
        <f>HYPERLINK("https://mississippidhs.jamacloud.com/perspective.req?projectId=53&amp;docId=29522","LSRP-SHRQ-1581")</f>
        <v>LSRP-SHRQ-1581</v>
      </c>
      <c r="B1590" s="8" t="s">
        <v>1729</v>
      </c>
      <c r="C1590" s="35" t="s">
        <v>401</v>
      </c>
      <c r="D1590" s="36" t="s">
        <v>37</v>
      </c>
      <c r="E1590" s="37" t="s">
        <v>779</v>
      </c>
      <c r="F1590" s="35" t="s">
        <v>411</v>
      </c>
      <c r="G1590" s="7"/>
      <c r="H1590" s="7"/>
      <c r="I1590" s="12"/>
    </row>
    <row r="1591" spans="1:9" ht="25.5" x14ac:dyDescent="0.2">
      <c r="A1591" s="35" t="str">
        <f>HYPERLINK("https://mississippidhs.jamacloud.com/perspective.req?projectId=53&amp;docId=29523","LSRP-SHRQ-1582")</f>
        <v>LSRP-SHRQ-1582</v>
      </c>
      <c r="B1591" s="8" t="s">
        <v>1945</v>
      </c>
      <c r="C1591" s="35" t="s">
        <v>401</v>
      </c>
      <c r="D1591" s="36" t="s">
        <v>37</v>
      </c>
      <c r="E1591" s="37" t="s">
        <v>779</v>
      </c>
      <c r="F1591" s="35" t="s">
        <v>411</v>
      </c>
      <c r="G1591" s="7"/>
      <c r="H1591" s="7"/>
      <c r="I1591" s="12"/>
    </row>
    <row r="1592" spans="1:9" ht="38.25" x14ac:dyDescent="0.2">
      <c r="A1592" s="35" t="str">
        <f>HYPERLINK("https://mississippidhs.jamacloud.com/perspective.req?projectId=53&amp;docId=29524","LSRP-SHRQ-1583")</f>
        <v>LSRP-SHRQ-1583</v>
      </c>
      <c r="B1592" s="8" t="s">
        <v>1946</v>
      </c>
      <c r="C1592" s="35" t="s">
        <v>401</v>
      </c>
      <c r="D1592" s="36" t="s">
        <v>37</v>
      </c>
      <c r="E1592" s="37" t="s">
        <v>779</v>
      </c>
      <c r="F1592" s="35" t="s">
        <v>545</v>
      </c>
      <c r="G1592" s="7"/>
      <c r="H1592" s="7"/>
      <c r="I1592" s="12"/>
    </row>
    <row r="1593" spans="1:9" ht="51" x14ac:dyDescent="0.2">
      <c r="A1593" s="35" t="str">
        <f>HYPERLINK("https://mississippidhs.jamacloud.com/perspective.req?projectId=53&amp;docId=29525","LSRP-SHRQ-1584")</f>
        <v>LSRP-SHRQ-1584</v>
      </c>
      <c r="B1593" s="8" t="s">
        <v>1947</v>
      </c>
      <c r="C1593" s="35" t="s">
        <v>401</v>
      </c>
      <c r="D1593" s="36" t="s">
        <v>37</v>
      </c>
      <c r="E1593" s="37" t="s">
        <v>779</v>
      </c>
      <c r="F1593" s="35" t="s">
        <v>425</v>
      </c>
      <c r="G1593" s="7"/>
      <c r="H1593" s="7"/>
      <c r="I1593" s="12"/>
    </row>
    <row r="1594" spans="1:9" ht="25.5" x14ac:dyDescent="0.2">
      <c r="A1594" s="35" t="str">
        <f>HYPERLINK("https://mississippidhs.jamacloud.com/perspective.req?projectId=53&amp;docId=29526","LSRP-SHRQ-1585")</f>
        <v>LSRP-SHRQ-1585</v>
      </c>
      <c r="B1594" s="8" t="s">
        <v>1948</v>
      </c>
      <c r="C1594" s="35" t="s">
        <v>401</v>
      </c>
      <c r="D1594" s="36" t="s">
        <v>37</v>
      </c>
      <c r="E1594" s="37" t="s">
        <v>779</v>
      </c>
      <c r="F1594" s="35" t="s">
        <v>394</v>
      </c>
      <c r="G1594" s="7"/>
      <c r="H1594" s="7"/>
      <c r="I1594" s="12"/>
    </row>
    <row r="1595" spans="1:9" ht="14.25" x14ac:dyDescent="0.2">
      <c r="A1595" s="35" t="str">
        <f>HYPERLINK("https://mississippidhs.jamacloud.com/perspective.req?projectId=53&amp;docId=29527","LSRP-SHRQ-1586")</f>
        <v>LSRP-SHRQ-1586</v>
      </c>
      <c r="B1595" s="8" t="s">
        <v>1949</v>
      </c>
      <c r="C1595" s="35" t="s">
        <v>401</v>
      </c>
      <c r="D1595" s="36" t="s">
        <v>37</v>
      </c>
      <c r="E1595" s="37" t="s">
        <v>779</v>
      </c>
      <c r="F1595" s="35" t="s">
        <v>394</v>
      </c>
      <c r="G1595" s="7"/>
      <c r="H1595" s="7"/>
      <c r="I1595" s="12"/>
    </row>
    <row r="1596" spans="1:9" ht="14.25" x14ac:dyDescent="0.2">
      <c r="A1596" s="35" t="str">
        <f>HYPERLINK("https://mississippidhs.jamacloud.com/perspective.req?projectId=53&amp;docId=29528","LSRP-SHRQ-1587")</f>
        <v>LSRP-SHRQ-1587</v>
      </c>
      <c r="B1596" s="8" t="s">
        <v>1950</v>
      </c>
      <c r="C1596" s="35" t="s">
        <v>401</v>
      </c>
      <c r="D1596" s="36" t="s">
        <v>37</v>
      </c>
      <c r="E1596" s="37" t="s">
        <v>779</v>
      </c>
      <c r="F1596" s="35" t="s">
        <v>394</v>
      </c>
      <c r="G1596" s="7"/>
      <c r="H1596" s="7"/>
      <c r="I1596" s="12"/>
    </row>
    <row r="1597" spans="1:9" ht="14.25" x14ac:dyDescent="0.2">
      <c r="A1597" s="35" t="str">
        <f>HYPERLINK("https://mississippidhs.jamacloud.com/perspective.req?projectId=53&amp;docId=29529","LSRP-SHRQ-1588")</f>
        <v>LSRP-SHRQ-1588</v>
      </c>
      <c r="B1597" s="8" t="s">
        <v>1951</v>
      </c>
      <c r="C1597" s="35" t="s">
        <v>401</v>
      </c>
      <c r="D1597" s="36" t="s">
        <v>37</v>
      </c>
      <c r="E1597" s="37" t="s">
        <v>779</v>
      </c>
      <c r="F1597" s="35" t="s">
        <v>394</v>
      </c>
      <c r="G1597" s="7"/>
      <c r="H1597" s="7"/>
      <c r="I1597" s="12"/>
    </row>
    <row r="1598" spans="1:9" ht="14.25" x14ac:dyDescent="0.2">
      <c r="A1598" s="35" t="str">
        <f>HYPERLINK("https://mississippidhs.jamacloud.com/perspective.req?projectId=53&amp;docId=29530","LSRP-SHRQ-1589")</f>
        <v>LSRP-SHRQ-1589</v>
      </c>
      <c r="B1598" s="8" t="s">
        <v>1952</v>
      </c>
      <c r="C1598" s="35" t="s">
        <v>401</v>
      </c>
      <c r="D1598" s="36" t="s">
        <v>37</v>
      </c>
      <c r="E1598" s="37" t="s">
        <v>779</v>
      </c>
      <c r="F1598" s="35" t="s">
        <v>394</v>
      </c>
      <c r="G1598" s="7"/>
      <c r="H1598" s="7"/>
      <c r="I1598" s="12"/>
    </row>
    <row r="1599" spans="1:9" ht="14.25" x14ac:dyDescent="0.2">
      <c r="A1599" s="35" t="str">
        <f>HYPERLINK("https://mississippidhs.jamacloud.com/perspective.req?projectId=53&amp;docId=29531","LSRP-SHRQ-1590")</f>
        <v>LSRP-SHRQ-1590</v>
      </c>
      <c r="B1599" s="8" t="s">
        <v>1953</v>
      </c>
      <c r="C1599" s="35" t="s">
        <v>401</v>
      </c>
      <c r="D1599" s="36" t="s">
        <v>37</v>
      </c>
      <c r="E1599" s="37" t="s">
        <v>779</v>
      </c>
      <c r="F1599" s="35" t="s">
        <v>394</v>
      </c>
      <c r="G1599" s="7"/>
      <c r="H1599" s="7"/>
      <c r="I1599" s="12"/>
    </row>
    <row r="1600" spans="1:9" ht="14.25" x14ac:dyDescent="0.2">
      <c r="A1600" s="35" t="str">
        <f>HYPERLINK("https://mississippidhs.jamacloud.com/perspective.req?projectId=53&amp;docId=29532","LSRP-SHRQ-1591")</f>
        <v>LSRP-SHRQ-1591</v>
      </c>
      <c r="B1600" s="8" t="s">
        <v>1954</v>
      </c>
      <c r="C1600" s="35" t="s">
        <v>401</v>
      </c>
      <c r="D1600" s="36" t="s">
        <v>37</v>
      </c>
      <c r="E1600" s="37" t="s">
        <v>779</v>
      </c>
      <c r="F1600" s="35" t="s">
        <v>573</v>
      </c>
      <c r="G1600" s="7"/>
      <c r="H1600" s="7"/>
      <c r="I1600" s="12"/>
    </row>
    <row r="1601" spans="1:9" ht="14.25" x14ac:dyDescent="0.2">
      <c r="A1601" s="35" t="str">
        <f>HYPERLINK("https://mississippidhs.jamacloud.com/perspective.req?projectId=53&amp;docId=29533","LSRP-SHRQ-1592")</f>
        <v>LSRP-SHRQ-1592</v>
      </c>
      <c r="B1601" s="8" t="s">
        <v>1955</v>
      </c>
      <c r="C1601" s="35" t="s">
        <v>401</v>
      </c>
      <c r="D1601" s="36" t="s">
        <v>37</v>
      </c>
      <c r="E1601" s="37" t="s">
        <v>779</v>
      </c>
      <c r="F1601" s="35" t="s">
        <v>573</v>
      </c>
      <c r="G1601" s="7"/>
      <c r="H1601" s="7"/>
      <c r="I1601" s="12"/>
    </row>
    <row r="1602" spans="1:9" ht="14.25" x14ac:dyDescent="0.2">
      <c r="A1602" s="35" t="str">
        <f>HYPERLINK("https://mississippidhs.jamacloud.com/perspective.req?projectId=53&amp;docId=29534","LSRP-SHRQ-1593")</f>
        <v>LSRP-SHRQ-1593</v>
      </c>
      <c r="B1602" s="8" t="s">
        <v>1956</v>
      </c>
      <c r="C1602" s="35" t="s">
        <v>401</v>
      </c>
      <c r="D1602" s="36" t="s">
        <v>37</v>
      </c>
      <c r="E1602" s="37" t="s">
        <v>779</v>
      </c>
      <c r="F1602" s="35" t="s">
        <v>394</v>
      </c>
      <c r="G1602" s="7"/>
      <c r="H1602" s="7"/>
      <c r="I1602" s="12"/>
    </row>
    <row r="1603" spans="1:9" ht="14.25" x14ac:dyDescent="0.2">
      <c r="A1603" s="35" t="str">
        <f>HYPERLINK("https://mississippidhs.jamacloud.com/perspective.req?projectId=53&amp;docId=29535","LSRP-SHRQ-1594")</f>
        <v>LSRP-SHRQ-1594</v>
      </c>
      <c r="B1603" s="8" t="s">
        <v>1957</v>
      </c>
      <c r="C1603" s="35" t="s">
        <v>401</v>
      </c>
      <c r="D1603" s="36" t="s">
        <v>37</v>
      </c>
      <c r="E1603" s="37" t="s">
        <v>779</v>
      </c>
      <c r="F1603" s="35" t="s">
        <v>573</v>
      </c>
      <c r="G1603" s="7"/>
      <c r="H1603" s="7"/>
      <c r="I1603" s="12"/>
    </row>
    <row r="1604" spans="1:9" ht="14.25" x14ac:dyDescent="0.2">
      <c r="A1604" s="35" t="str">
        <f>HYPERLINK("https://mississippidhs.jamacloud.com/perspective.req?projectId=53&amp;docId=29536","LSRP-SHRQ-1595")</f>
        <v>LSRP-SHRQ-1595</v>
      </c>
      <c r="B1604" s="8" t="s">
        <v>1958</v>
      </c>
      <c r="C1604" s="35" t="s">
        <v>401</v>
      </c>
      <c r="D1604" s="36" t="s">
        <v>37</v>
      </c>
      <c r="E1604" s="37" t="s">
        <v>779</v>
      </c>
      <c r="F1604" s="35" t="s">
        <v>573</v>
      </c>
      <c r="G1604" s="7"/>
      <c r="H1604" s="7"/>
      <c r="I1604" s="12"/>
    </row>
    <row r="1605" spans="1:9" ht="25.5" x14ac:dyDescent="0.2">
      <c r="A1605" s="35" t="str">
        <f>HYPERLINK("https://mississippidhs.jamacloud.com/perspective.req?projectId=53&amp;docId=29537","LSRP-SHRQ-1596")</f>
        <v>LSRP-SHRQ-1596</v>
      </c>
      <c r="B1605" s="8" t="s">
        <v>1959</v>
      </c>
      <c r="C1605" s="35" t="s">
        <v>401</v>
      </c>
      <c r="D1605" s="36" t="s">
        <v>37</v>
      </c>
      <c r="E1605" s="37" t="s">
        <v>779</v>
      </c>
      <c r="F1605" s="35" t="s">
        <v>573</v>
      </c>
      <c r="G1605" s="7"/>
      <c r="H1605" s="7"/>
      <c r="I1605" s="12"/>
    </row>
    <row r="1606" spans="1:9" ht="25.5" x14ac:dyDescent="0.2">
      <c r="A1606" s="35" t="str">
        <f>HYPERLINK("https://mississippidhs.jamacloud.com/perspective.req?projectId=53&amp;docId=29538","LSRP-SHRQ-1597")</f>
        <v>LSRP-SHRQ-1597</v>
      </c>
      <c r="B1606" s="8" t="s">
        <v>1960</v>
      </c>
      <c r="C1606" s="35" t="s">
        <v>401</v>
      </c>
      <c r="D1606" s="36" t="s">
        <v>37</v>
      </c>
      <c r="E1606" s="37" t="s">
        <v>779</v>
      </c>
      <c r="F1606" s="35" t="s">
        <v>394</v>
      </c>
      <c r="G1606" s="7"/>
      <c r="H1606" s="7"/>
      <c r="I1606" s="12"/>
    </row>
    <row r="1607" spans="1:9" ht="25.5" x14ac:dyDescent="0.2">
      <c r="A1607" s="35" t="str">
        <f>HYPERLINK("https://mississippidhs.jamacloud.com/perspective.req?projectId=53&amp;docId=29539","LSRP-SHRQ-1598")</f>
        <v>LSRP-SHRQ-1598</v>
      </c>
      <c r="B1607" s="8" t="s">
        <v>1961</v>
      </c>
      <c r="C1607" s="35" t="s">
        <v>401</v>
      </c>
      <c r="D1607" s="36" t="s">
        <v>37</v>
      </c>
      <c r="E1607" s="37" t="s">
        <v>779</v>
      </c>
      <c r="F1607" s="35" t="s">
        <v>394</v>
      </c>
      <c r="G1607" s="7"/>
      <c r="H1607" s="7"/>
      <c r="I1607" s="12"/>
    </row>
    <row r="1608" spans="1:9" ht="14.25" x14ac:dyDescent="0.2">
      <c r="A1608" s="35" t="str">
        <f>HYPERLINK("https://mississippidhs.jamacloud.com/perspective.req?projectId=53&amp;docId=29540","LSRP-SHRQ-1599")</f>
        <v>LSRP-SHRQ-1599</v>
      </c>
      <c r="B1608" s="8" t="s">
        <v>1962</v>
      </c>
      <c r="C1608" s="35" t="s">
        <v>401</v>
      </c>
      <c r="D1608" s="36" t="s">
        <v>37</v>
      </c>
      <c r="E1608" s="37" t="s">
        <v>779</v>
      </c>
      <c r="F1608" s="35" t="s">
        <v>394</v>
      </c>
      <c r="G1608" s="7"/>
      <c r="H1608" s="7"/>
      <c r="I1608" s="12"/>
    </row>
    <row r="1609" spans="1:9" ht="25.5" x14ac:dyDescent="0.2">
      <c r="A1609" s="35" t="str">
        <f>HYPERLINK("https://mississippidhs.jamacloud.com/perspective.req?projectId=53&amp;docId=29541","LSRP-SHRQ-1600")</f>
        <v>LSRP-SHRQ-1600</v>
      </c>
      <c r="B1609" s="8" t="s">
        <v>1963</v>
      </c>
      <c r="C1609" s="35" t="s">
        <v>401</v>
      </c>
      <c r="D1609" s="36" t="s">
        <v>37</v>
      </c>
      <c r="E1609" s="37" t="s">
        <v>779</v>
      </c>
      <c r="F1609" s="35" t="s">
        <v>394</v>
      </c>
      <c r="G1609" s="7"/>
      <c r="H1609" s="7"/>
      <c r="I1609" s="12"/>
    </row>
    <row r="1610" spans="1:9" ht="25.5" x14ac:dyDescent="0.2">
      <c r="A1610" s="35" t="str">
        <f>HYPERLINK("https://mississippidhs.jamacloud.com/perspective.req?projectId=53&amp;docId=29542","LSRP-SHRQ-1601")</f>
        <v>LSRP-SHRQ-1601</v>
      </c>
      <c r="B1610" s="8" t="s">
        <v>1964</v>
      </c>
      <c r="C1610" s="35" t="s">
        <v>401</v>
      </c>
      <c r="D1610" s="36" t="s">
        <v>37</v>
      </c>
      <c r="E1610" s="37" t="s">
        <v>779</v>
      </c>
      <c r="F1610" s="35" t="s">
        <v>394</v>
      </c>
      <c r="G1610" s="7"/>
      <c r="H1610" s="7"/>
      <c r="I1610" s="12"/>
    </row>
    <row r="1611" spans="1:9" ht="14.25" x14ac:dyDescent="0.2">
      <c r="A1611" s="35" t="str">
        <f>HYPERLINK("https://mississippidhs.jamacloud.com/perspective.req?projectId=53&amp;docId=29543","LSRP-SHRQ-1602")</f>
        <v>LSRP-SHRQ-1602</v>
      </c>
      <c r="B1611" s="8" t="s">
        <v>1965</v>
      </c>
      <c r="C1611" s="35" t="s">
        <v>401</v>
      </c>
      <c r="D1611" s="36" t="s">
        <v>37</v>
      </c>
      <c r="E1611" s="37" t="s">
        <v>779</v>
      </c>
      <c r="F1611" s="35" t="s">
        <v>394</v>
      </c>
      <c r="G1611" s="7"/>
      <c r="H1611" s="7"/>
      <c r="I1611" s="12"/>
    </row>
    <row r="1612" spans="1:9" ht="25.5" x14ac:dyDescent="0.2">
      <c r="A1612" s="35" t="str">
        <f>HYPERLINK("https://mississippidhs.jamacloud.com/perspective.req?projectId=53&amp;docId=29544","LSRP-SHRQ-1603")</f>
        <v>LSRP-SHRQ-1603</v>
      </c>
      <c r="B1612" s="8" t="s">
        <v>1966</v>
      </c>
      <c r="C1612" s="35" t="s">
        <v>401</v>
      </c>
      <c r="D1612" s="36" t="s">
        <v>37</v>
      </c>
      <c r="E1612" s="37" t="s">
        <v>779</v>
      </c>
      <c r="F1612" s="35" t="s">
        <v>394</v>
      </c>
      <c r="G1612" s="7"/>
      <c r="H1612" s="7"/>
      <c r="I1612" s="12"/>
    </row>
    <row r="1613" spans="1:9" ht="25.5" x14ac:dyDescent="0.2">
      <c r="A1613" s="35" t="str">
        <f>HYPERLINK("https://mississippidhs.jamacloud.com/perspective.req?projectId=53&amp;docId=29545","LSRP-SHRQ-1604")</f>
        <v>LSRP-SHRQ-1604</v>
      </c>
      <c r="B1613" s="8" t="s">
        <v>1967</v>
      </c>
      <c r="C1613" s="35" t="s">
        <v>401</v>
      </c>
      <c r="D1613" s="36" t="s">
        <v>37</v>
      </c>
      <c r="E1613" s="37" t="s">
        <v>779</v>
      </c>
      <c r="F1613" s="35" t="s">
        <v>394</v>
      </c>
      <c r="G1613" s="7"/>
      <c r="H1613" s="7"/>
      <c r="I1613" s="12"/>
    </row>
    <row r="1614" spans="1:9" ht="25.5" x14ac:dyDescent="0.2">
      <c r="A1614" s="35" t="str">
        <f>HYPERLINK("https://mississippidhs.jamacloud.com/perspective.req?projectId=53&amp;docId=29546","LSRP-SHRQ-1605")</f>
        <v>LSRP-SHRQ-1605</v>
      </c>
      <c r="B1614" s="8" t="s">
        <v>1968</v>
      </c>
      <c r="C1614" s="35" t="s">
        <v>401</v>
      </c>
      <c r="D1614" s="36" t="s">
        <v>37</v>
      </c>
      <c r="E1614" s="37" t="s">
        <v>779</v>
      </c>
      <c r="F1614" s="35" t="s">
        <v>394</v>
      </c>
      <c r="G1614" s="7"/>
      <c r="H1614" s="7"/>
      <c r="I1614" s="12"/>
    </row>
    <row r="1615" spans="1:9" ht="14.25" x14ac:dyDescent="0.2">
      <c r="A1615" s="35" t="str">
        <f>HYPERLINK("https://mississippidhs.jamacloud.com/perspective.req?projectId=53&amp;docId=29547","LSRP-SHRQ-1606")</f>
        <v>LSRP-SHRQ-1606</v>
      </c>
      <c r="B1615" s="8" t="s">
        <v>1969</v>
      </c>
      <c r="C1615" s="35" t="s">
        <v>401</v>
      </c>
      <c r="D1615" s="36" t="s">
        <v>37</v>
      </c>
      <c r="E1615" s="37" t="s">
        <v>779</v>
      </c>
      <c r="F1615" s="35" t="s">
        <v>394</v>
      </c>
      <c r="G1615" s="7"/>
      <c r="H1615" s="7"/>
      <c r="I1615" s="12"/>
    </row>
    <row r="1616" spans="1:9" ht="38.25" x14ac:dyDescent="0.2">
      <c r="A1616" s="35" t="str">
        <f>HYPERLINK("https://mississippidhs.jamacloud.com/perspective.req?projectId=53&amp;docId=29548","LSRP-SHRQ-1607")</f>
        <v>LSRP-SHRQ-1607</v>
      </c>
      <c r="B1616" s="8" t="s">
        <v>1970</v>
      </c>
      <c r="C1616" s="35" t="s">
        <v>401</v>
      </c>
      <c r="D1616" s="36" t="s">
        <v>37</v>
      </c>
      <c r="E1616" s="37" t="s">
        <v>779</v>
      </c>
      <c r="F1616" s="35" t="s">
        <v>394</v>
      </c>
      <c r="G1616" s="7"/>
      <c r="H1616" s="7"/>
      <c r="I1616" s="12"/>
    </row>
    <row r="1617" spans="1:9" ht="14.25" x14ac:dyDescent="0.2">
      <c r="A1617" s="35" t="str">
        <f>HYPERLINK("https://mississippidhs.jamacloud.com/perspective.req?projectId=53&amp;docId=29549","LSRP-SHRQ-1608")</f>
        <v>LSRP-SHRQ-1608</v>
      </c>
      <c r="B1617" s="8" t="s">
        <v>1971</v>
      </c>
      <c r="C1617" s="35" t="s">
        <v>401</v>
      </c>
      <c r="D1617" s="36" t="s">
        <v>37</v>
      </c>
      <c r="E1617" s="37" t="s">
        <v>779</v>
      </c>
      <c r="F1617" s="35" t="s">
        <v>394</v>
      </c>
      <c r="G1617" s="7"/>
      <c r="H1617" s="7"/>
      <c r="I1617" s="12"/>
    </row>
    <row r="1618" spans="1:9" ht="25.5" x14ac:dyDescent="0.2">
      <c r="A1618" s="35" t="str">
        <f>HYPERLINK("https://mississippidhs.jamacloud.com/perspective.req?projectId=53&amp;docId=29550","LSRP-SHRQ-1609")</f>
        <v>LSRP-SHRQ-1609</v>
      </c>
      <c r="B1618" s="8" t="s">
        <v>1972</v>
      </c>
      <c r="C1618" s="35" t="s">
        <v>401</v>
      </c>
      <c r="D1618" s="36" t="s">
        <v>37</v>
      </c>
      <c r="E1618" s="37" t="s">
        <v>779</v>
      </c>
      <c r="F1618" s="35" t="s">
        <v>394</v>
      </c>
      <c r="G1618" s="7"/>
      <c r="H1618" s="7"/>
      <c r="I1618" s="12"/>
    </row>
    <row r="1619" spans="1:9" ht="25.5" x14ac:dyDescent="0.2">
      <c r="A1619" s="35" t="str">
        <f>HYPERLINK("https://mississippidhs.jamacloud.com/perspective.req?projectId=53&amp;docId=29551","LSRP-SHRQ-1610")</f>
        <v>LSRP-SHRQ-1610</v>
      </c>
      <c r="B1619" s="8" t="s">
        <v>1973</v>
      </c>
      <c r="C1619" s="35" t="s">
        <v>401</v>
      </c>
      <c r="D1619" s="36" t="s">
        <v>37</v>
      </c>
      <c r="E1619" s="37" t="s">
        <v>779</v>
      </c>
      <c r="F1619" s="35" t="s">
        <v>394</v>
      </c>
      <c r="G1619" s="7"/>
      <c r="H1619" s="7"/>
      <c r="I1619" s="12"/>
    </row>
    <row r="1620" spans="1:9" ht="38.25" x14ac:dyDescent="0.2">
      <c r="A1620" s="35" t="str">
        <f>HYPERLINK("https://mississippidhs.jamacloud.com/perspective.req?projectId=53&amp;docId=29552","LSRP-SHRQ-1611")</f>
        <v>LSRP-SHRQ-1611</v>
      </c>
      <c r="B1620" s="8" t="s">
        <v>1974</v>
      </c>
      <c r="C1620" s="35" t="s">
        <v>401</v>
      </c>
      <c r="D1620" s="36" t="s">
        <v>37</v>
      </c>
      <c r="E1620" s="37" t="s">
        <v>779</v>
      </c>
      <c r="F1620" s="35" t="s">
        <v>425</v>
      </c>
      <c r="G1620" s="7"/>
      <c r="H1620" s="7"/>
      <c r="I1620" s="12"/>
    </row>
    <row r="1621" spans="1:9" ht="25.5" x14ac:dyDescent="0.2">
      <c r="A1621" s="35" t="str">
        <f>HYPERLINK("https://mississippidhs.jamacloud.com/perspective.req?projectId=53&amp;docId=29553","LSRP-SHRQ-1612")</f>
        <v>LSRP-SHRQ-1612</v>
      </c>
      <c r="B1621" s="8" t="s">
        <v>1975</v>
      </c>
      <c r="C1621" s="35" t="s">
        <v>401</v>
      </c>
      <c r="D1621" s="36" t="s">
        <v>37</v>
      </c>
      <c r="E1621" s="37" t="s">
        <v>779</v>
      </c>
      <c r="F1621" s="35" t="s">
        <v>394</v>
      </c>
      <c r="G1621" s="7"/>
      <c r="H1621" s="7"/>
      <c r="I1621" s="12"/>
    </row>
    <row r="1622" spans="1:9" ht="25.5" x14ac:dyDescent="0.2">
      <c r="A1622" s="35" t="str">
        <f>HYPERLINK("https://mississippidhs.jamacloud.com/perspective.req?projectId=53&amp;docId=29554","LSRP-SHRQ-1613")</f>
        <v>LSRP-SHRQ-1613</v>
      </c>
      <c r="B1622" s="8" t="s">
        <v>1976</v>
      </c>
      <c r="C1622" s="35" t="s">
        <v>401</v>
      </c>
      <c r="D1622" s="36" t="s">
        <v>37</v>
      </c>
      <c r="E1622" s="37" t="s">
        <v>779</v>
      </c>
      <c r="F1622" s="35" t="s">
        <v>394</v>
      </c>
      <c r="G1622" s="7"/>
      <c r="H1622" s="7"/>
      <c r="I1622" s="12"/>
    </row>
    <row r="1623" spans="1:9" ht="14.25" x14ac:dyDescent="0.2">
      <c r="A1623" s="35" t="str">
        <f>HYPERLINK("https://mississippidhs.jamacloud.com/perspective.req?projectId=53&amp;docId=29555","LSRP-SHRQ-1614")</f>
        <v>LSRP-SHRQ-1614</v>
      </c>
      <c r="B1623" s="8" t="s">
        <v>1977</v>
      </c>
      <c r="C1623" s="35" t="s">
        <v>401</v>
      </c>
      <c r="D1623" s="36" t="s">
        <v>37</v>
      </c>
      <c r="E1623" s="37" t="s">
        <v>779</v>
      </c>
      <c r="F1623" s="35" t="s">
        <v>394</v>
      </c>
      <c r="G1623" s="7"/>
      <c r="H1623" s="7"/>
      <c r="I1623" s="12"/>
    </row>
    <row r="1624" spans="1:9" ht="38.25" x14ac:dyDescent="0.2">
      <c r="A1624" s="35" t="str">
        <f>HYPERLINK("https://mississippidhs.jamacloud.com/perspective.req?projectId=53&amp;docId=29556","LSRP-SHRQ-1615")</f>
        <v>LSRP-SHRQ-1615</v>
      </c>
      <c r="B1624" s="8" t="s">
        <v>1978</v>
      </c>
      <c r="C1624" s="35" t="s">
        <v>401</v>
      </c>
      <c r="D1624" s="36" t="s">
        <v>37</v>
      </c>
      <c r="E1624" s="37" t="s">
        <v>779</v>
      </c>
      <c r="F1624" s="35" t="s">
        <v>425</v>
      </c>
      <c r="G1624" s="7"/>
      <c r="H1624" s="7"/>
      <c r="I1624" s="12"/>
    </row>
    <row r="1625" spans="1:9" ht="25.5" x14ac:dyDescent="0.2">
      <c r="A1625" s="35" t="str">
        <f>HYPERLINK("https://mississippidhs.jamacloud.com/perspective.req?projectId=53&amp;docId=29557","LSRP-SHRQ-1616")</f>
        <v>LSRP-SHRQ-1616</v>
      </c>
      <c r="B1625" s="8" t="s">
        <v>1979</v>
      </c>
      <c r="C1625" s="35" t="s">
        <v>401</v>
      </c>
      <c r="D1625" s="36" t="s">
        <v>37</v>
      </c>
      <c r="E1625" s="37" t="s">
        <v>779</v>
      </c>
      <c r="F1625" s="35" t="s">
        <v>394</v>
      </c>
      <c r="G1625" s="7"/>
      <c r="H1625" s="7"/>
      <c r="I1625" s="12"/>
    </row>
    <row r="1626" spans="1:9" ht="25.5" x14ac:dyDescent="0.2">
      <c r="A1626" s="35" t="str">
        <f>HYPERLINK("https://mississippidhs.jamacloud.com/perspective.req?projectId=53&amp;docId=29558","LSRP-SHRQ-1617")</f>
        <v>LSRP-SHRQ-1617</v>
      </c>
      <c r="B1626" s="8" t="s">
        <v>1980</v>
      </c>
      <c r="C1626" s="35" t="s">
        <v>401</v>
      </c>
      <c r="D1626" s="36" t="s">
        <v>37</v>
      </c>
      <c r="E1626" s="37" t="s">
        <v>779</v>
      </c>
      <c r="F1626" s="35" t="s">
        <v>394</v>
      </c>
      <c r="G1626" s="7"/>
      <c r="H1626" s="7"/>
      <c r="I1626" s="12"/>
    </row>
    <row r="1627" spans="1:9" ht="25.5" x14ac:dyDescent="0.2">
      <c r="A1627" s="35" t="str">
        <f>HYPERLINK("https://mississippidhs.jamacloud.com/perspective.req?projectId=53&amp;docId=29559","LSRP-SHRQ-1618")</f>
        <v>LSRP-SHRQ-1618</v>
      </c>
      <c r="B1627" s="8" t="s">
        <v>1981</v>
      </c>
      <c r="C1627" s="35" t="s">
        <v>401</v>
      </c>
      <c r="D1627" s="36" t="s">
        <v>37</v>
      </c>
      <c r="E1627" s="37" t="s">
        <v>779</v>
      </c>
      <c r="F1627" s="35" t="s">
        <v>394</v>
      </c>
      <c r="G1627" s="7"/>
      <c r="H1627" s="7"/>
      <c r="I1627" s="12"/>
    </row>
    <row r="1628" spans="1:9" ht="25.5" x14ac:dyDescent="0.2">
      <c r="A1628" s="35" t="str">
        <f>HYPERLINK("https://mississippidhs.jamacloud.com/perspective.req?projectId=53&amp;docId=29560","LSRP-SHRQ-1619")</f>
        <v>LSRP-SHRQ-1619</v>
      </c>
      <c r="B1628" s="8" t="s">
        <v>1982</v>
      </c>
      <c r="C1628" s="35" t="s">
        <v>401</v>
      </c>
      <c r="D1628" s="36" t="s">
        <v>37</v>
      </c>
      <c r="E1628" s="37" t="s">
        <v>779</v>
      </c>
      <c r="F1628" s="35" t="s">
        <v>394</v>
      </c>
      <c r="G1628" s="7"/>
      <c r="H1628" s="7"/>
      <c r="I1628" s="12"/>
    </row>
    <row r="1629" spans="1:9" ht="38.25" x14ac:dyDescent="0.2">
      <c r="A1629" s="35" t="str">
        <f>HYPERLINK("https://mississippidhs.jamacloud.com/perspective.req?projectId=53&amp;docId=29561","LSRP-SHRQ-1620")</f>
        <v>LSRP-SHRQ-1620</v>
      </c>
      <c r="B1629" s="8" t="s">
        <v>1983</v>
      </c>
      <c r="C1629" s="35" t="s">
        <v>401</v>
      </c>
      <c r="D1629" s="36" t="s">
        <v>37</v>
      </c>
      <c r="E1629" s="37" t="s">
        <v>779</v>
      </c>
      <c r="F1629" s="35" t="s">
        <v>394</v>
      </c>
      <c r="G1629" s="7"/>
      <c r="H1629" s="7"/>
      <c r="I1629" s="12"/>
    </row>
    <row r="1630" spans="1:9" ht="25.5" x14ac:dyDescent="0.2">
      <c r="A1630" s="35" t="str">
        <f>HYPERLINK("https://mississippidhs.jamacloud.com/perspective.req?projectId=53&amp;docId=29562","LSRP-SHRQ-1621")</f>
        <v>LSRP-SHRQ-1621</v>
      </c>
      <c r="B1630" s="8" t="s">
        <v>1984</v>
      </c>
      <c r="C1630" s="35" t="s">
        <v>401</v>
      </c>
      <c r="D1630" s="36" t="s">
        <v>37</v>
      </c>
      <c r="E1630" s="37" t="s">
        <v>779</v>
      </c>
      <c r="F1630" s="35" t="s">
        <v>425</v>
      </c>
      <c r="G1630" s="7"/>
      <c r="H1630" s="7"/>
      <c r="I1630" s="12"/>
    </row>
    <row r="1631" spans="1:9" ht="38.25" x14ac:dyDescent="0.2">
      <c r="A1631" s="35" t="str">
        <f>HYPERLINK("https://mississippidhs.jamacloud.com/perspective.req?projectId=53&amp;docId=29563","LSRP-SHRQ-1622")</f>
        <v>LSRP-SHRQ-1622</v>
      </c>
      <c r="B1631" s="8" t="s">
        <v>1985</v>
      </c>
      <c r="C1631" s="35" t="s">
        <v>401</v>
      </c>
      <c r="D1631" s="36" t="s">
        <v>37</v>
      </c>
      <c r="E1631" s="37" t="s">
        <v>779</v>
      </c>
      <c r="F1631" s="35" t="s">
        <v>394</v>
      </c>
      <c r="G1631" s="7"/>
      <c r="H1631" s="7"/>
      <c r="I1631" s="12"/>
    </row>
    <row r="1632" spans="1:9" ht="38.25" x14ac:dyDescent="0.2">
      <c r="A1632" s="35" t="str">
        <f>HYPERLINK("https://mississippidhs.jamacloud.com/perspective.req?projectId=53&amp;docId=29564","LSRP-SHRQ-1623")</f>
        <v>LSRP-SHRQ-1623</v>
      </c>
      <c r="B1632" s="8" t="s">
        <v>1986</v>
      </c>
      <c r="C1632" s="35" t="s">
        <v>401</v>
      </c>
      <c r="D1632" s="36" t="s">
        <v>37</v>
      </c>
      <c r="E1632" s="37" t="s">
        <v>779</v>
      </c>
      <c r="F1632" s="35" t="s">
        <v>394</v>
      </c>
      <c r="G1632" s="7"/>
      <c r="H1632" s="7"/>
      <c r="I1632" s="12"/>
    </row>
    <row r="1633" spans="1:9" ht="25.5" x14ac:dyDescent="0.2">
      <c r="A1633" s="35" t="str">
        <f>HYPERLINK("https://mississippidhs.jamacloud.com/perspective.req?projectId=53&amp;docId=29565","LSRP-SHRQ-1624")</f>
        <v>LSRP-SHRQ-1624</v>
      </c>
      <c r="B1633" s="8" t="s">
        <v>1987</v>
      </c>
      <c r="C1633" s="35" t="s">
        <v>401</v>
      </c>
      <c r="D1633" s="36" t="s">
        <v>37</v>
      </c>
      <c r="E1633" s="37" t="s">
        <v>779</v>
      </c>
      <c r="F1633" s="35" t="s">
        <v>105</v>
      </c>
      <c r="G1633" s="7"/>
      <c r="H1633" s="7"/>
      <c r="I1633" s="12"/>
    </row>
    <row r="1634" spans="1:9" ht="38.25" x14ac:dyDescent="0.2">
      <c r="A1634" s="35" t="str">
        <f>HYPERLINK("https://mississippidhs.jamacloud.com/perspective.req?projectId=53&amp;docId=29566","LSRP-SHRQ-1625")</f>
        <v>LSRP-SHRQ-1625</v>
      </c>
      <c r="B1634" s="8" t="s">
        <v>1988</v>
      </c>
      <c r="C1634" s="35" t="s">
        <v>401</v>
      </c>
      <c r="D1634" s="36" t="s">
        <v>37</v>
      </c>
      <c r="E1634" s="37" t="s">
        <v>779</v>
      </c>
      <c r="F1634" s="35" t="s">
        <v>105</v>
      </c>
      <c r="G1634" s="7"/>
      <c r="H1634" s="7"/>
      <c r="I1634" s="12"/>
    </row>
    <row r="1635" spans="1:9" ht="76.5" x14ac:dyDescent="0.2">
      <c r="A1635" s="35" t="str">
        <f>HYPERLINK("https://mississippidhs.jamacloud.com/perspective.req?projectId=53&amp;docId=29567","LSRP-SHRQ-1626")</f>
        <v>LSRP-SHRQ-1626</v>
      </c>
      <c r="B1635" s="8" t="s">
        <v>1989</v>
      </c>
      <c r="C1635" s="35" t="s">
        <v>401</v>
      </c>
      <c r="D1635" s="36" t="s">
        <v>37</v>
      </c>
      <c r="E1635" s="37" t="s">
        <v>779</v>
      </c>
      <c r="F1635" s="35" t="s">
        <v>105</v>
      </c>
      <c r="G1635" s="7"/>
      <c r="H1635" s="7"/>
      <c r="I1635" s="12"/>
    </row>
    <row r="1636" spans="1:9" ht="25.5" x14ac:dyDescent="0.2">
      <c r="A1636" s="35" t="str">
        <f>HYPERLINK("https://mississippidhs.jamacloud.com/perspective.req?projectId=53&amp;docId=29568","LSRP-SHRQ-1627")</f>
        <v>LSRP-SHRQ-1627</v>
      </c>
      <c r="B1636" s="8" t="s">
        <v>1990</v>
      </c>
      <c r="C1636" s="35" t="s">
        <v>401</v>
      </c>
      <c r="D1636" s="36" t="s">
        <v>37</v>
      </c>
      <c r="E1636" s="37" t="s">
        <v>779</v>
      </c>
      <c r="F1636" s="35" t="s">
        <v>573</v>
      </c>
      <c r="G1636" s="7"/>
      <c r="H1636" s="7"/>
      <c r="I1636" s="12"/>
    </row>
    <row r="1637" spans="1:9" ht="25.5" x14ac:dyDescent="0.2">
      <c r="A1637" s="35" t="str">
        <f>HYPERLINK("https://mississippidhs.jamacloud.com/perspective.req?projectId=53&amp;docId=29569","LSRP-SHRQ-1628")</f>
        <v>LSRP-SHRQ-1628</v>
      </c>
      <c r="B1637" s="8" t="s">
        <v>1991</v>
      </c>
      <c r="C1637" s="35" t="s">
        <v>401</v>
      </c>
      <c r="D1637" s="36" t="s">
        <v>37</v>
      </c>
      <c r="E1637" s="37" t="s">
        <v>779</v>
      </c>
      <c r="F1637" s="35" t="s">
        <v>105</v>
      </c>
      <c r="G1637" s="7"/>
      <c r="H1637" s="7"/>
      <c r="I1637" s="12"/>
    </row>
    <row r="1638" spans="1:9" ht="25.5" x14ac:dyDescent="0.2">
      <c r="A1638" s="35" t="str">
        <f>HYPERLINK("https://mississippidhs.jamacloud.com/perspective.req?projectId=53&amp;docId=29570","LSRP-SHRQ-1629")</f>
        <v>LSRP-SHRQ-1629</v>
      </c>
      <c r="B1638" s="31" t="s">
        <v>1992</v>
      </c>
      <c r="C1638" s="35" t="s">
        <v>401</v>
      </c>
      <c r="D1638" s="36" t="s">
        <v>37</v>
      </c>
      <c r="E1638" s="37" t="s">
        <v>779</v>
      </c>
      <c r="F1638" s="35" t="s">
        <v>420</v>
      </c>
      <c r="G1638" s="7"/>
      <c r="H1638" s="7"/>
      <c r="I1638" s="12"/>
    </row>
    <row r="1639" spans="1:9" ht="25.5" x14ac:dyDescent="0.2">
      <c r="A1639" s="35" t="str">
        <f>HYPERLINK("https://mississippidhs.jamacloud.com/perspective.req?projectId=53&amp;docId=29571","LSRP-SHRQ-1630")</f>
        <v>LSRP-SHRQ-1630</v>
      </c>
      <c r="B1639" s="8" t="s">
        <v>1993</v>
      </c>
      <c r="C1639" s="35" t="s">
        <v>401</v>
      </c>
      <c r="D1639" s="36" t="s">
        <v>37</v>
      </c>
      <c r="E1639" s="37" t="s">
        <v>779</v>
      </c>
      <c r="F1639" s="35" t="s">
        <v>420</v>
      </c>
      <c r="G1639" s="7"/>
      <c r="H1639" s="7"/>
      <c r="I1639" s="12"/>
    </row>
    <row r="1640" spans="1:9" ht="38.25" x14ac:dyDescent="0.2">
      <c r="A1640" s="35" t="str">
        <f>HYPERLINK("https://mississippidhs.jamacloud.com/perspective.req?projectId=53&amp;docId=29572","LSRP-SHRQ-1631")</f>
        <v>LSRP-SHRQ-1631</v>
      </c>
      <c r="B1640" s="8" t="s">
        <v>1994</v>
      </c>
      <c r="C1640" s="35" t="s">
        <v>401</v>
      </c>
      <c r="D1640" s="36" t="s">
        <v>37</v>
      </c>
      <c r="E1640" s="37" t="s">
        <v>779</v>
      </c>
      <c r="F1640" s="35" t="s">
        <v>420</v>
      </c>
      <c r="G1640" s="7"/>
      <c r="H1640" s="7"/>
      <c r="I1640" s="12"/>
    </row>
    <row r="1641" spans="1:9" ht="38.25" x14ac:dyDescent="0.2">
      <c r="A1641" s="35" t="str">
        <f>HYPERLINK("https://mississippidhs.jamacloud.com/perspective.req?projectId=53&amp;docId=29573","LSRP-SHRQ-1632")</f>
        <v>LSRP-SHRQ-1632</v>
      </c>
      <c r="B1641" s="8" t="s">
        <v>1995</v>
      </c>
      <c r="C1641" s="35" t="s">
        <v>401</v>
      </c>
      <c r="D1641" s="36" t="s">
        <v>37</v>
      </c>
      <c r="E1641" s="37" t="s">
        <v>779</v>
      </c>
      <c r="F1641" s="35" t="s">
        <v>420</v>
      </c>
      <c r="G1641" s="7"/>
      <c r="H1641" s="7"/>
      <c r="I1641" s="12"/>
    </row>
    <row r="1642" spans="1:9" ht="25.5" x14ac:dyDescent="0.2">
      <c r="A1642" s="35" t="str">
        <f>HYPERLINK("https://mississippidhs.jamacloud.com/perspective.req?projectId=53&amp;docId=29574","LSRP-SHRQ-1633")</f>
        <v>LSRP-SHRQ-1633</v>
      </c>
      <c r="B1642" s="8" t="s">
        <v>1996</v>
      </c>
      <c r="C1642" s="35" t="s">
        <v>401</v>
      </c>
      <c r="D1642" s="36" t="s">
        <v>37</v>
      </c>
      <c r="E1642" s="37" t="s">
        <v>779</v>
      </c>
      <c r="F1642" s="35" t="s">
        <v>394</v>
      </c>
      <c r="G1642" s="7"/>
      <c r="H1642" s="7"/>
      <c r="I1642" s="12"/>
    </row>
    <row r="1643" spans="1:9" ht="25.5" x14ac:dyDescent="0.2">
      <c r="A1643" s="35" t="str">
        <f>HYPERLINK("https://mississippidhs.jamacloud.com/perspective.req?projectId=53&amp;docId=29575","LSRP-SHRQ-1634")</f>
        <v>LSRP-SHRQ-1634</v>
      </c>
      <c r="B1643" s="8" t="s">
        <v>1997</v>
      </c>
      <c r="C1643" s="35" t="s">
        <v>401</v>
      </c>
      <c r="D1643" s="36" t="s">
        <v>37</v>
      </c>
      <c r="E1643" s="37" t="s">
        <v>779</v>
      </c>
      <c r="F1643" s="35" t="s">
        <v>394</v>
      </c>
      <c r="G1643" s="7"/>
      <c r="H1643" s="7"/>
      <c r="I1643" s="12"/>
    </row>
    <row r="1644" spans="1:9" ht="38.25" x14ac:dyDescent="0.2">
      <c r="A1644" s="35" t="str">
        <f>HYPERLINK("https://mississippidhs.jamacloud.com/perspective.req?projectId=53&amp;docId=29576","LSRP-SHRQ-1635")</f>
        <v>LSRP-SHRQ-1635</v>
      </c>
      <c r="B1644" s="8" t="s">
        <v>1998</v>
      </c>
      <c r="C1644" s="35" t="s">
        <v>401</v>
      </c>
      <c r="D1644" s="36" t="s">
        <v>37</v>
      </c>
      <c r="E1644" s="37" t="s">
        <v>779</v>
      </c>
      <c r="F1644" s="35" t="s">
        <v>1999</v>
      </c>
      <c r="G1644" s="7"/>
      <c r="H1644" s="7"/>
      <c r="I1644" s="12"/>
    </row>
    <row r="1645" spans="1:9" ht="25.5" x14ac:dyDescent="0.2">
      <c r="A1645" s="35" t="str">
        <f>HYPERLINK("https://mississippidhs.jamacloud.com/perspective.req?projectId=53&amp;docId=29577","LSRP-SHRQ-1636")</f>
        <v>LSRP-SHRQ-1636</v>
      </c>
      <c r="B1645" s="8" t="s">
        <v>2000</v>
      </c>
      <c r="C1645" s="35" t="s">
        <v>401</v>
      </c>
      <c r="D1645" s="36" t="s">
        <v>37</v>
      </c>
      <c r="E1645" s="37" t="s">
        <v>779</v>
      </c>
      <c r="F1645" s="35" t="s">
        <v>1999</v>
      </c>
      <c r="G1645" s="7"/>
      <c r="H1645" s="7"/>
      <c r="I1645" s="12"/>
    </row>
    <row r="1646" spans="1:9" ht="25.5" x14ac:dyDescent="0.2">
      <c r="A1646" s="35" t="str">
        <f>HYPERLINK("https://mississippidhs.jamacloud.com/perspective.req?projectId=53&amp;docId=29578","LSRP-SHRQ-1637")</f>
        <v>LSRP-SHRQ-1637</v>
      </c>
      <c r="B1646" s="8" t="s">
        <v>2001</v>
      </c>
      <c r="C1646" s="35" t="s">
        <v>401</v>
      </c>
      <c r="D1646" s="36" t="s">
        <v>37</v>
      </c>
      <c r="E1646" s="37" t="s">
        <v>779</v>
      </c>
      <c r="F1646" s="35" t="s">
        <v>1999</v>
      </c>
      <c r="G1646" s="7"/>
      <c r="H1646" s="7"/>
      <c r="I1646" s="12"/>
    </row>
    <row r="1647" spans="1:9" ht="25.5" x14ac:dyDescent="0.2">
      <c r="A1647" s="35" t="str">
        <f>HYPERLINK("https://mississippidhs.jamacloud.com/perspective.req?projectId=53&amp;docId=29579","LSRP-SHRQ-1638")</f>
        <v>LSRP-SHRQ-1638</v>
      </c>
      <c r="B1647" s="8" t="s">
        <v>2002</v>
      </c>
      <c r="C1647" s="35" t="s">
        <v>401</v>
      </c>
      <c r="D1647" s="36" t="s">
        <v>37</v>
      </c>
      <c r="E1647" s="37" t="s">
        <v>779</v>
      </c>
      <c r="F1647" s="35" t="s">
        <v>1999</v>
      </c>
      <c r="G1647" s="7"/>
      <c r="H1647" s="7"/>
      <c r="I1647" s="12"/>
    </row>
    <row r="1648" spans="1:9" ht="25.5" x14ac:dyDescent="0.2">
      <c r="A1648" s="35" t="str">
        <f>HYPERLINK("https://mississippidhs.jamacloud.com/perspective.req?projectId=53&amp;docId=29580","LSRP-SHRQ-1639")</f>
        <v>LSRP-SHRQ-1639</v>
      </c>
      <c r="B1648" s="8" t="s">
        <v>2003</v>
      </c>
      <c r="C1648" s="35" t="s">
        <v>401</v>
      </c>
      <c r="D1648" s="36" t="s">
        <v>37</v>
      </c>
      <c r="E1648" s="37" t="s">
        <v>779</v>
      </c>
      <c r="F1648" s="35" t="s">
        <v>1999</v>
      </c>
      <c r="G1648" s="7"/>
      <c r="H1648" s="7"/>
      <c r="I1648" s="12"/>
    </row>
    <row r="1649" spans="1:9" ht="25.5" x14ac:dyDescent="0.2">
      <c r="A1649" s="35" t="str">
        <f>HYPERLINK("https://mississippidhs.jamacloud.com/perspective.req?projectId=53&amp;docId=29581","LSRP-SHRQ-1640")</f>
        <v>LSRP-SHRQ-1640</v>
      </c>
      <c r="B1649" s="8" t="s">
        <v>2004</v>
      </c>
      <c r="C1649" s="35" t="s">
        <v>401</v>
      </c>
      <c r="D1649" s="36" t="s">
        <v>37</v>
      </c>
      <c r="E1649" s="37" t="s">
        <v>779</v>
      </c>
      <c r="F1649" s="35" t="s">
        <v>1999</v>
      </c>
      <c r="G1649" s="7"/>
      <c r="H1649" s="7"/>
      <c r="I1649" s="12"/>
    </row>
    <row r="1650" spans="1:9" ht="51" x14ac:dyDescent="0.2">
      <c r="A1650" s="35" t="str">
        <f>HYPERLINK("https://mississippidhs.jamacloud.com/perspective.req?projectId=53&amp;docId=29582","LSRP-SHRQ-1641")</f>
        <v>LSRP-SHRQ-1641</v>
      </c>
      <c r="B1650" s="8" t="s">
        <v>2005</v>
      </c>
      <c r="C1650" s="35" t="s">
        <v>401</v>
      </c>
      <c r="D1650" s="36" t="s">
        <v>37</v>
      </c>
      <c r="E1650" s="37" t="s">
        <v>779</v>
      </c>
      <c r="F1650" s="35" t="s">
        <v>1999</v>
      </c>
      <c r="G1650" s="7"/>
      <c r="H1650" s="7"/>
      <c r="I1650" s="12"/>
    </row>
    <row r="1651" spans="1:9" ht="25.5" x14ac:dyDescent="0.2">
      <c r="A1651" s="35" t="str">
        <f>HYPERLINK("https://mississippidhs.jamacloud.com/perspective.req?projectId=53&amp;docId=29583","LSRP-SHRQ-1642")</f>
        <v>LSRP-SHRQ-1642</v>
      </c>
      <c r="B1651" s="8" t="s">
        <v>2006</v>
      </c>
      <c r="C1651" s="35" t="s">
        <v>401</v>
      </c>
      <c r="D1651" s="36" t="s">
        <v>37</v>
      </c>
      <c r="E1651" s="37" t="s">
        <v>779</v>
      </c>
      <c r="F1651" s="35" t="s">
        <v>1999</v>
      </c>
      <c r="G1651" s="7"/>
      <c r="H1651" s="7"/>
      <c r="I1651" s="12"/>
    </row>
    <row r="1652" spans="1:9" ht="14.25" x14ac:dyDescent="0.2">
      <c r="A1652" s="35" t="str">
        <f>HYPERLINK("https://mississippidhs.jamacloud.com/perspective.req?projectId=53&amp;docId=29584","LSRP-SHRQ-1643")</f>
        <v>LSRP-SHRQ-1643</v>
      </c>
      <c r="B1652" s="8" t="s">
        <v>2007</v>
      </c>
      <c r="C1652" s="35" t="s">
        <v>401</v>
      </c>
      <c r="D1652" s="36" t="s">
        <v>37</v>
      </c>
      <c r="E1652" s="37" t="s">
        <v>779</v>
      </c>
      <c r="F1652" s="35" t="s">
        <v>392</v>
      </c>
      <c r="G1652" s="7"/>
      <c r="H1652" s="7"/>
      <c r="I1652" s="12"/>
    </row>
    <row r="1653" spans="1:9" ht="14.25" x14ac:dyDescent="0.2">
      <c r="A1653" s="35" t="str">
        <f>HYPERLINK("https://mississippidhs.jamacloud.com/perspective.req?projectId=53&amp;docId=29585","LSRP-SHRQ-1644")</f>
        <v>LSRP-SHRQ-1644</v>
      </c>
      <c r="B1653" s="8" t="s">
        <v>2008</v>
      </c>
      <c r="C1653" s="35" t="s">
        <v>401</v>
      </c>
      <c r="D1653" s="36" t="s">
        <v>37</v>
      </c>
      <c r="E1653" s="37" t="s">
        <v>779</v>
      </c>
      <c r="F1653" s="35" t="s">
        <v>1999</v>
      </c>
      <c r="G1653" s="7"/>
      <c r="H1653" s="7"/>
      <c r="I1653" s="12"/>
    </row>
    <row r="1654" spans="1:9" ht="14.25" x14ac:dyDescent="0.2">
      <c r="A1654" s="35" t="str">
        <f>HYPERLINK("https://mississippidhs.jamacloud.com/perspective.req?projectId=53&amp;docId=29586","LSRP-SHRQ-1645")</f>
        <v>LSRP-SHRQ-1645</v>
      </c>
      <c r="B1654" s="8" t="s">
        <v>2009</v>
      </c>
      <c r="C1654" s="35" t="s">
        <v>401</v>
      </c>
      <c r="D1654" s="36" t="s">
        <v>37</v>
      </c>
      <c r="E1654" s="37" t="s">
        <v>779</v>
      </c>
      <c r="F1654" s="35" t="s">
        <v>1999</v>
      </c>
      <c r="G1654" s="7"/>
      <c r="H1654" s="7"/>
      <c r="I1654" s="12"/>
    </row>
    <row r="1655" spans="1:9" ht="25.5" x14ac:dyDescent="0.2">
      <c r="A1655" s="35" t="str">
        <f>HYPERLINK("https://mississippidhs.jamacloud.com/perspective.req?projectId=53&amp;docId=29587","LSRP-SHRQ-1646")</f>
        <v>LSRP-SHRQ-1646</v>
      </c>
      <c r="B1655" s="8" t="s">
        <v>2010</v>
      </c>
      <c r="C1655" s="35" t="s">
        <v>401</v>
      </c>
      <c r="D1655" s="36" t="s">
        <v>37</v>
      </c>
      <c r="E1655" s="37" t="s">
        <v>779</v>
      </c>
      <c r="F1655" s="35" t="s">
        <v>1999</v>
      </c>
      <c r="G1655" s="7"/>
      <c r="H1655" s="7"/>
      <c r="I1655" s="12"/>
    </row>
    <row r="1656" spans="1:9" ht="25.5" x14ac:dyDescent="0.2">
      <c r="A1656" s="35" t="str">
        <f>HYPERLINK("https://mississippidhs.jamacloud.com/perspective.req?projectId=53&amp;docId=29588","LSRP-SHRQ-1647")</f>
        <v>LSRP-SHRQ-1647</v>
      </c>
      <c r="B1656" s="8" t="s">
        <v>2011</v>
      </c>
      <c r="C1656" s="35" t="s">
        <v>401</v>
      </c>
      <c r="D1656" s="36" t="s">
        <v>37</v>
      </c>
      <c r="E1656" s="37" t="s">
        <v>779</v>
      </c>
      <c r="F1656" s="35" t="s">
        <v>1999</v>
      </c>
      <c r="G1656" s="7"/>
      <c r="H1656" s="7"/>
      <c r="I1656" s="12"/>
    </row>
    <row r="1657" spans="1:9" ht="14.25" x14ac:dyDescent="0.2">
      <c r="A1657" s="35" t="str">
        <f>HYPERLINK("https://mississippidhs.jamacloud.com/perspective.req?projectId=53&amp;docId=29589","LSRP-SHRQ-1648")</f>
        <v>LSRP-SHRQ-1648</v>
      </c>
      <c r="B1657" s="8" t="s">
        <v>2012</v>
      </c>
      <c r="C1657" s="35" t="s">
        <v>401</v>
      </c>
      <c r="D1657" s="36" t="s">
        <v>37</v>
      </c>
      <c r="E1657" s="37" t="s">
        <v>779</v>
      </c>
      <c r="F1657" s="35" t="s">
        <v>1999</v>
      </c>
      <c r="G1657" s="7"/>
      <c r="H1657" s="7"/>
      <c r="I1657" s="12"/>
    </row>
    <row r="1658" spans="1:9" ht="25.5" x14ac:dyDescent="0.2">
      <c r="A1658" s="35" t="str">
        <f>HYPERLINK("https://mississippidhs.jamacloud.com/perspective.req?projectId=53&amp;docId=29590","LSRP-SHRQ-1649")</f>
        <v>LSRP-SHRQ-1649</v>
      </c>
      <c r="B1658" s="8" t="s">
        <v>2013</v>
      </c>
      <c r="C1658" s="35" t="s">
        <v>401</v>
      </c>
      <c r="D1658" s="36" t="s">
        <v>37</v>
      </c>
      <c r="E1658" s="37" t="s">
        <v>779</v>
      </c>
      <c r="F1658" s="35" t="s">
        <v>2014</v>
      </c>
      <c r="G1658" s="7"/>
      <c r="H1658" s="7"/>
      <c r="I1658" s="12"/>
    </row>
    <row r="1659" spans="1:9" ht="25.5" x14ac:dyDescent="0.2">
      <c r="A1659" s="35" t="str">
        <f>HYPERLINK("https://mississippidhs.jamacloud.com/perspective.req?projectId=53&amp;docId=29591","LSRP-SHRQ-1650")</f>
        <v>LSRP-SHRQ-1650</v>
      </c>
      <c r="B1659" s="8" t="s">
        <v>2015</v>
      </c>
      <c r="C1659" s="35" t="s">
        <v>401</v>
      </c>
      <c r="D1659" s="36" t="s">
        <v>37</v>
      </c>
      <c r="E1659" s="37" t="s">
        <v>779</v>
      </c>
      <c r="F1659" s="35" t="s">
        <v>1999</v>
      </c>
      <c r="G1659" s="7"/>
      <c r="H1659" s="7"/>
      <c r="I1659" s="12"/>
    </row>
    <row r="1660" spans="1:9" ht="25.5" x14ac:dyDescent="0.2">
      <c r="A1660" s="35" t="str">
        <f>HYPERLINK("https://mississippidhs.jamacloud.com/perspective.req?projectId=53&amp;docId=29592","LSRP-SHRQ-1651")</f>
        <v>LSRP-SHRQ-1651</v>
      </c>
      <c r="B1660" s="8" t="s">
        <v>2016</v>
      </c>
      <c r="C1660" s="35" t="s">
        <v>401</v>
      </c>
      <c r="D1660" s="36" t="s">
        <v>37</v>
      </c>
      <c r="E1660" s="37" t="s">
        <v>779</v>
      </c>
      <c r="F1660" s="35" t="s">
        <v>1999</v>
      </c>
      <c r="G1660" s="7"/>
      <c r="H1660" s="7"/>
      <c r="I1660" s="12"/>
    </row>
    <row r="1661" spans="1:9" ht="51" x14ac:dyDescent="0.2">
      <c r="A1661" s="35" t="str">
        <f>HYPERLINK("https://mississippidhs.jamacloud.com/perspective.req?projectId=53&amp;docId=29593","LSRP-SHRQ-1652")</f>
        <v>LSRP-SHRQ-1652</v>
      </c>
      <c r="B1661" s="8" t="s">
        <v>2017</v>
      </c>
      <c r="C1661" s="35" t="s">
        <v>401</v>
      </c>
      <c r="D1661" s="36" t="s">
        <v>37</v>
      </c>
      <c r="E1661" s="37" t="s">
        <v>779</v>
      </c>
      <c r="F1661" s="35" t="s">
        <v>2014</v>
      </c>
      <c r="G1661" s="7"/>
      <c r="H1661" s="7"/>
      <c r="I1661" s="12"/>
    </row>
    <row r="1662" spans="1:9" ht="25.5" x14ac:dyDescent="0.2">
      <c r="A1662" s="35" t="str">
        <f>HYPERLINK("https://mississippidhs.jamacloud.com/perspective.req?projectId=53&amp;docId=29594","LSRP-SHRQ-1653")</f>
        <v>LSRP-SHRQ-1653</v>
      </c>
      <c r="B1662" s="8" t="s">
        <v>2018</v>
      </c>
      <c r="C1662" s="35" t="s">
        <v>401</v>
      </c>
      <c r="D1662" s="36" t="s">
        <v>37</v>
      </c>
      <c r="E1662" s="37" t="s">
        <v>779</v>
      </c>
      <c r="F1662" s="35" t="s">
        <v>269</v>
      </c>
      <c r="G1662" s="7"/>
      <c r="H1662" s="7"/>
      <c r="I1662" s="12"/>
    </row>
    <row r="1663" spans="1:9" ht="25.5" x14ac:dyDescent="0.2">
      <c r="A1663" s="35" t="str">
        <f>HYPERLINK("https://mississippidhs.jamacloud.com/perspective.req?projectId=53&amp;docId=29595","LSRP-SHRQ-1654")</f>
        <v>LSRP-SHRQ-1654</v>
      </c>
      <c r="B1663" s="8" t="s">
        <v>2019</v>
      </c>
      <c r="C1663" s="35" t="s">
        <v>401</v>
      </c>
      <c r="D1663" s="36" t="s">
        <v>37</v>
      </c>
      <c r="E1663" s="37" t="s">
        <v>779</v>
      </c>
      <c r="F1663" s="35" t="s">
        <v>269</v>
      </c>
      <c r="G1663" s="7"/>
      <c r="H1663" s="7"/>
      <c r="I1663" s="12"/>
    </row>
    <row r="1664" spans="1:9" ht="25.5" x14ac:dyDescent="0.2">
      <c r="A1664" s="35" t="str">
        <f>HYPERLINK("https://mississippidhs.jamacloud.com/perspective.req?projectId=53&amp;docId=29596","LSRP-SHRQ-1655")</f>
        <v>LSRP-SHRQ-1655</v>
      </c>
      <c r="B1664" s="8" t="s">
        <v>2020</v>
      </c>
      <c r="C1664" s="35" t="s">
        <v>401</v>
      </c>
      <c r="D1664" s="36" t="s">
        <v>37</v>
      </c>
      <c r="E1664" s="37" t="s">
        <v>779</v>
      </c>
      <c r="F1664" s="35" t="s">
        <v>573</v>
      </c>
      <c r="G1664" s="7"/>
      <c r="H1664" s="7"/>
      <c r="I1664" s="12"/>
    </row>
    <row r="1665" spans="1:9" ht="25.5" x14ac:dyDescent="0.2">
      <c r="A1665" s="35" t="str">
        <f>HYPERLINK("https://mississippidhs.jamacloud.com/perspective.req?projectId=53&amp;docId=29597","LSRP-SHRQ-1656")</f>
        <v>LSRP-SHRQ-1656</v>
      </c>
      <c r="B1665" s="8" t="s">
        <v>2021</v>
      </c>
      <c r="C1665" s="35" t="s">
        <v>401</v>
      </c>
      <c r="D1665" s="36" t="s">
        <v>37</v>
      </c>
      <c r="E1665" s="37" t="s">
        <v>779</v>
      </c>
      <c r="F1665" s="35" t="s">
        <v>2014</v>
      </c>
      <c r="G1665" s="7"/>
      <c r="H1665" s="7"/>
      <c r="I1665" s="12"/>
    </row>
    <row r="1666" spans="1:9" ht="25.5" x14ac:dyDescent="0.2">
      <c r="A1666" s="35" t="str">
        <f>HYPERLINK("https://mississippidhs.jamacloud.com/perspective.req?projectId=53&amp;docId=29598","LSRP-SHRQ-1657")</f>
        <v>LSRP-SHRQ-1657</v>
      </c>
      <c r="B1666" s="8" t="s">
        <v>2022</v>
      </c>
      <c r="C1666" s="35" t="s">
        <v>401</v>
      </c>
      <c r="D1666" s="36" t="s">
        <v>37</v>
      </c>
      <c r="E1666" s="37" t="s">
        <v>779</v>
      </c>
      <c r="F1666" s="35" t="s">
        <v>573</v>
      </c>
      <c r="G1666" s="7"/>
      <c r="H1666" s="7"/>
      <c r="I1666" s="12"/>
    </row>
    <row r="1667" spans="1:9" ht="25.5" x14ac:dyDescent="0.2">
      <c r="A1667" s="35" t="str">
        <f>HYPERLINK("https://mississippidhs.jamacloud.com/perspective.req?projectId=53&amp;docId=29599","LSRP-SHRQ-1658")</f>
        <v>LSRP-SHRQ-1658</v>
      </c>
      <c r="B1667" s="8" t="s">
        <v>2023</v>
      </c>
      <c r="C1667" s="35" t="s">
        <v>401</v>
      </c>
      <c r="D1667" s="36" t="s">
        <v>37</v>
      </c>
      <c r="E1667" s="37" t="s">
        <v>779</v>
      </c>
      <c r="F1667" s="35" t="s">
        <v>269</v>
      </c>
      <c r="G1667" s="7"/>
      <c r="H1667" s="7"/>
      <c r="I1667" s="12"/>
    </row>
    <row r="1668" spans="1:9" ht="25.5" x14ac:dyDescent="0.2">
      <c r="A1668" s="35" t="str">
        <f>HYPERLINK("https://mississippidhs.jamacloud.com/perspective.req?projectId=53&amp;docId=29600","LSRP-SHRQ-1659")</f>
        <v>LSRP-SHRQ-1659</v>
      </c>
      <c r="B1668" s="8" t="s">
        <v>2024</v>
      </c>
      <c r="C1668" s="35" t="s">
        <v>401</v>
      </c>
      <c r="D1668" s="36" t="s">
        <v>37</v>
      </c>
      <c r="E1668" s="37" t="s">
        <v>779</v>
      </c>
      <c r="F1668" s="35" t="s">
        <v>425</v>
      </c>
      <c r="G1668" s="7"/>
      <c r="H1668" s="7"/>
      <c r="I1668" s="12"/>
    </row>
    <row r="1669" spans="1:9" ht="25.5" x14ac:dyDescent="0.2">
      <c r="A1669" s="35" t="str">
        <f>HYPERLINK("https://mississippidhs.jamacloud.com/perspective.req?projectId=53&amp;docId=29601","LSRP-SHRQ-1660")</f>
        <v>LSRP-SHRQ-1660</v>
      </c>
      <c r="B1669" s="8" t="s">
        <v>2025</v>
      </c>
      <c r="C1669" s="35" t="s">
        <v>401</v>
      </c>
      <c r="D1669" s="36" t="s">
        <v>37</v>
      </c>
      <c r="E1669" s="37" t="s">
        <v>779</v>
      </c>
      <c r="F1669" s="35" t="s">
        <v>322</v>
      </c>
      <c r="G1669" s="7"/>
      <c r="H1669" s="7"/>
      <c r="I1669" s="12"/>
    </row>
    <row r="1670" spans="1:9" ht="25.5" x14ac:dyDescent="0.2">
      <c r="A1670" s="35" t="str">
        <f>HYPERLINK("https://mississippidhs.jamacloud.com/perspective.req?projectId=53&amp;docId=29602","LSRP-SHRQ-1661")</f>
        <v>LSRP-SHRQ-1661</v>
      </c>
      <c r="B1670" s="8" t="s">
        <v>2026</v>
      </c>
      <c r="C1670" s="35" t="s">
        <v>401</v>
      </c>
      <c r="D1670" s="36" t="s">
        <v>37</v>
      </c>
      <c r="E1670" s="37" t="s">
        <v>779</v>
      </c>
      <c r="F1670" s="35" t="s">
        <v>322</v>
      </c>
      <c r="G1670" s="7"/>
      <c r="H1670" s="7"/>
      <c r="I1670" s="12"/>
    </row>
    <row r="1671" spans="1:9" ht="25.5" x14ac:dyDescent="0.2">
      <c r="A1671" s="35" t="str">
        <f>HYPERLINK("https://mississippidhs.jamacloud.com/perspective.req?projectId=53&amp;docId=29603","LSRP-SHRQ-1662")</f>
        <v>LSRP-SHRQ-1662</v>
      </c>
      <c r="B1671" s="8" t="s">
        <v>2027</v>
      </c>
      <c r="C1671" s="35" t="s">
        <v>401</v>
      </c>
      <c r="D1671" s="36" t="s">
        <v>37</v>
      </c>
      <c r="E1671" s="37" t="s">
        <v>779</v>
      </c>
      <c r="F1671" s="35" t="s">
        <v>394</v>
      </c>
      <c r="G1671" s="7"/>
      <c r="H1671" s="7"/>
      <c r="I1671" s="12"/>
    </row>
    <row r="1672" spans="1:9" ht="25.5" x14ac:dyDescent="0.2">
      <c r="A1672" s="35" t="str">
        <f>HYPERLINK("https://mississippidhs.jamacloud.com/perspective.req?projectId=53&amp;docId=29604","LSRP-SHRQ-1663")</f>
        <v>LSRP-SHRQ-1663</v>
      </c>
      <c r="B1672" s="8" t="s">
        <v>2028</v>
      </c>
      <c r="C1672" s="35" t="s">
        <v>401</v>
      </c>
      <c r="D1672" s="36" t="s">
        <v>37</v>
      </c>
      <c r="E1672" s="37" t="s">
        <v>779</v>
      </c>
      <c r="F1672" s="35" t="s">
        <v>394</v>
      </c>
      <c r="G1672" s="7"/>
      <c r="H1672" s="7"/>
      <c r="I1672" s="12"/>
    </row>
    <row r="1673" spans="1:9" ht="38.25" x14ac:dyDescent="0.2">
      <c r="A1673" s="35" t="str">
        <f>HYPERLINK("https://mississippidhs.jamacloud.com/perspective.req?projectId=53&amp;docId=29605","LSRP-SHRQ-1664")</f>
        <v>LSRP-SHRQ-1664</v>
      </c>
      <c r="B1673" s="8" t="s">
        <v>2029</v>
      </c>
      <c r="C1673" s="35" t="s">
        <v>401</v>
      </c>
      <c r="D1673" s="36" t="s">
        <v>37</v>
      </c>
      <c r="E1673" s="37" t="s">
        <v>779</v>
      </c>
      <c r="F1673" s="35" t="s">
        <v>394</v>
      </c>
      <c r="G1673" s="7"/>
      <c r="H1673" s="7"/>
      <c r="I1673" s="12"/>
    </row>
    <row r="1674" spans="1:9" ht="38.25" x14ac:dyDescent="0.2">
      <c r="A1674" s="35" t="str">
        <f>HYPERLINK("https://mississippidhs.jamacloud.com/perspective.req?projectId=53&amp;docId=29606","LSRP-SHRQ-1665")</f>
        <v>LSRP-SHRQ-1665</v>
      </c>
      <c r="B1674" s="8" t="s">
        <v>2030</v>
      </c>
      <c r="C1674" s="35" t="s">
        <v>401</v>
      </c>
      <c r="D1674" s="36" t="s">
        <v>37</v>
      </c>
      <c r="E1674" s="37" t="s">
        <v>779</v>
      </c>
      <c r="F1674" s="35" t="s">
        <v>269</v>
      </c>
      <c r="G1674" s="7"/>
      <c r="H1674" s="7"/>
      <c r="I1674" s="12"/>
    </row>
    <row r="1675" spans="1:9" ht="25.5" x14ac:dyDescent="0.2">
      <c r="A1675" s="35" t="str">
        <f>HYPERLINK("https://mississippidhs.jamacloud.com/perspective.req?projectId=53&amp;docId=29607","LSRP-SHRQ-1666")</f>
        <v>LSRP-SHRQ-1666</v>
      </c>
      <c r="B1675" s="8" t="s">
        <v>2031</v>
      </c>
      <c r="C1675" s="35" t="s">
        <v>401</v>
      </c>
      <c r="D1675" s="36" t="s">
        <v>37</v>
      </c>
      <c r="E1675" s="37" t="s">
        <v>779</v>
      </c>
      <c r="F1675" s="35" t="s">
        <v>394</v>
      </c>
      <c r="G1675" s="7"/>
      <c r="H1675" s="7"/>
      <c r="I1675" s="12"/>
    </row>
    <row r="1676" spans="1:9" ht="51" x14ac:dyDescent="0.2">
      <c r="A1676" s="35" t="str">
        <f>HYPERLINK("https://mississippidhs.jamacloud.com/perspective.req?projectId=53&amp;docId=29608","LSRP-SHRQ-1667")</f>
        <v>LSRP-SHRQ-1667</v>
      </c>
      <c r="B1676" s="8" t="s">
        <v>2032</v>
      </c>
      <c r="C1676" s="35" t="s">
        <v>401</v>
      </c>
      <c r="D1676" s="36" t="s">
        <v>37</v>
      </c>
      <c r="E1676" s="37" t="s">
        <v>779</v>
      </c>
      <c r="F1676" s="35" t="s">
        <v>425</v>
      </c>
      <c r="G1676" s="7"/>
      <c r="H1676" s="7"/>
      <c r="I1676" s="12"/>
    </row>
    <row r="1677" spans="1:9" ht="25.5" x14ac:dyDescent="0.2">
      <c r="A1677" s="35" t="str">
        <f>HYPERLINK("https://mississippidhs.jamacloud.com/perspective.req?projectId=53&amp;docId=29609","LSRP-SHRQ-1668")</f>
        <v>LSRP-SHRQ-1668</v>
      </c>
      <c r="B1677" s="8" t="s">
        <v>2033</v>
      </c>
      <c r="C1677" s="35" t="s">
        <v>401</v>
      </c>
      <c r="D1677" s="36" t="s">
        <v>37</v>
      </c>
      <c r="E1677" s="37" t="s">
        <v>779</v>
      </c>
      <c r="F1677" s="35" t="s">
        <v>582</v>
      </c>
      <c r="G1677" s="7"/>
      <c r="H1677" s="7"/>
      <c r="I1677" s="12"/>
    </row>
    <row r="1678" spans="1:9" ht="25.5" x14ac:dyDescent="0.2">
      <c r="A1678" s="35" t="str">
        <f>HYPERLINK("https://mississippidhs.jamacloud.com/perspective.req?projectId=53&amp;docId=29610","LSRP-SHRQ-1669")</f>
        <v>LSRP-SHRQ-1669</v>
      </c>
      <c r="B1678" s="8" t="s">
        <v>2034</v>
      </c>
      <c r="C1678" s="35" t="s">
        <v>401</v>
      </c>
      <c r="D1678" s="36" t="s">
        <v>37</v>
      </c>
      <c r="E1678" s="37" t="s">
        <v>779</v>
      </c>
      <c r="F1678" s="35" t="s">
        <v>578</v>
      </c>
      <c r="G1678" s="7"/>
      <c r="H1678" s="7"/>
      <c r="I1678" s="12"/>
    </row>
    <row r="1679" spans="1:9" ht="25.5" x14ac:dyDescent="0.2">
      <c r="A1679" s="35" t="str">
        <f>HYPERLINK("https://mississippidhs.jamacloud.com/perspective.req?projectId=53&amp;docId=29611","LSRP-SHRQ-1670")</f>
        <v>LSRP-SHRQ-1670</v>
      </c>
      <c r="B1679" s="8" t="s">
        <v>2035</v>
      </c>
      <c r="C1679" s="35" t="s">
        <v>401</v>
      </c>
      <c r="D1679" s="36" t="s">
        <v>37</v>
      </c>
      <c r="E1679" s="37" t="s">
        <v>779</v>
      </c>
      <c r="F1679" s="35" t="s">
        <v>425</v>
      </c>
      <c r="G1679" s="7"/>
      <c r="H1679" s="7"/>
      <c r="I1679" s="12"/>
    </row>
    <row r="1680" spans="1:9" ht="25.5" x14ac:dyDescent="0.2">
      <c r="A1680" s="35" t="str">
        <f>HYPERLINK("https://mississippidhs.jamacloud.com/perspective.req?projectId=53&amp;docId=29612","LSRP-SHRQ-1671")</f>
        <v>LSRP-SHRQ-1671</v>
      </c>
      <c r="B1680" s="8" t="s">
        <v>2036</v>
      </c>
      <c r="C1680" s="35" t="s">
        <v>401</v>
      </c>
      <c r="D1680" s="36" t="s">
        <v>37</v>
      </c>
      <c r="E1680" s="37" t="s">
        <v>779</v>
      </c>
      <c r="F1680" s="35" t="s">
        <v>554</v>
      </c>
      <c r="G1680" s="7"/>
      <c r="H1680" s="7"/>
      <c r="I1680" s="12"/>
    </row>
    <row r="1681" spans="1:9" ht="25.5" x14ac:dyDescent="0.2">
      <c r="A1681" s="35" t="str">
        <f>HYPERLINK("https://mississippidhs.jamacloud.com/perspective.req?projectId=53&amp;docId=29613","LSRP-SHRQ-1672")</f>
        <v>LSRP-SHRQ-1672</v>
      </c>
      <c r="B1681" s="8" t="s">
        <v>2037</v>
      </c>
      <c r="C1681" s="35" t="s">
        <v>401</v>
      </c>
      <c r="D1681" s="36" t="s">
        <v>37</v>
      </c>
      <c r="E1681" s="37" t="s">
        <v>779</v>
      </c>
      <c r="F1681" s="35" t="s">
        <v>554</v>
      </c>
      <c r="G1681" s="7"/>
      <c r="H1681" s="7"/>
      <c r="I1681" s="12"/>
    </row>
    <row r="1682" spans="1:9" ht="63.75" x14ac:dyDescent="0.2">
      <c r="A1682" s="35" t="str">
        <f>HYPERLINK("https://mississippidhs.jamacloud.com/perspective.req?projectId=53&amp;docId=29614","LSRP-SHRQ-1673")</f>
        <v>LSRP-SHRQ-1673</v>
      </c>
      <c r="B1682" s="8" t="s">
        <v>2038</v>
      </c>
      <c r="C1682" s="35" t="s">
        <v>401</v>
      </c>
      <c r="D1682" s="36" t="s">
        <v>37</v>
      </c>
      <c r="E1682" s="37" t="s">
        <v>779</v>
      </c>
      <c r="F1682" s="35" t="s">
        <v>425</v>
      </c>
      <c r="G1682" s="7"/>
      <c r="H1682" s="7"/>
      <c r="I1682" s="12"/>
    </row>
    <row r="1683" spans="1:9" ht="38.25" x14ac:dyDescent="0.2">
      <c r="A1683" s="35" t="str">
        <f>HYPERLINK("https://mississippidhs.jamacloud.com/perspective.req?projectId=53&amp;docId=29615","LSRP-SHRQ-1674")</f>
        <v>LSRP-SHRQ-1674</v>
      </c>
      <c r="B1683" s="8" t="s">
        <v>2039</v>
      </c>
      <c r="C1683" s="35" t="s">
        <v>401</v>
      </c>
      <c r="D1683" s="36" t="s">
        <v>37</v>
      </c>
      <c r="E1683" s="37" t="s">
        <v>779</v>
      </c>
      <c r="F1683" s="35" t="s">
        <v>425</v>
      </c>
      <c r="G1683" s="7"/>
      <c r="H1683" s="7"/>
      <c r="I1683" s="12"/>
    </row>
    <row r="1684" spans="1:9" ht="25.5" x14ac:dyDescent="0.2">
      <c r="A1684" s="35" t="str">
        <f>HYPERLINK("https://mississippidhs.jamacloud.com/perspective.req?projectId=53&amp;docId=29616","LSRP-SHRQ-1675")</f>
        <v>LSRP-SHRQ-1675</v>
      </c>
      <c r="B1684" s="8" t="s">
        <v>2040</v>
      </c>
      <c r="C1684" s="35" t="s">
        <v>401</v>
      </c>
      <c r="D1684" s="36" t="s">
        <v>37</v>
      </c>
      <c r="E1684" s="37" t="s">
        <v>779</v>
      </c>
      <c r="F1684" s="35" t="s">
        <v>573</v>
      </c>
      <c r="G1684" s="7"/>
      <c r="H1684" s="7"/>
      <c r="I1684" s="12"/>
    </row>
    <row r="1685" spans="1:9" ht="25.5" x14ac:dyDescent="0.2">
      <c r="A1685" s="35" t="str">
        <f>HYPERLINK("https://mississippidhs.jamacloud.com/perspective.req?projectId=53&amp;docId=29617","LSRP-SHRQ-1676")</f>
        <v>LSRP-SHRQ-1676</v>
      </c>
      <c r="B1685" s="8" t="s">
        <v>2041</v>
      </c>
      <c r="C1685" s="35" t="s">
        <v>401</v>
      </c>
      <c r="D1685" s="36" t="s">
        <v>37</v>
      </c>
      <c r="E1685" s="37" t="s">
        <v>779</v>
      </c>
      <c r="F1685" s="35" t="s">
        <v>394</v>
      </c>
      <c r="G1685" s="7"/>
      <c r="H1685" s="7"/>
      <c r="I1685" s="12"/>
    </row>
    <row r="1686" spans="1:9" ht="25.5" x14ac:dyDescent="0.2">
      <c r="A1686" s="35" t="str">
        <f>HYPERLINK("https://mississippidhs.jamacloud.com/perspective.req?projectId=53&amp;docId=29618","LSRP-SHRQ-1677")</f>
        <v>LSRP-SHRQ-1677</v>
      </c>
      <c r="B1686" s="8" t="s">
        <v>2042</v>
      </c>
      <c r="C1686" s="35" t="s">
        <v>401</v>
      </c>
      <c r="D1686" s="36" t="s">
        <v>37</v>
      </c>
      <c r="E1686" s="37" t="s">
        <v>779</v>
      </c>
      <c r="F1686" s="35" t="s">
        <v>545</v>
      </c>
      <c r="G1686" s="7"/>
      <c r="H1686" s="7"/>
      <c r="I1686" s="12"/>
    </row>
    <row r="1687" spans="1:9" ht="25.5" x14ac:dyDescent="0.2">
      <c r="A1687" s="35" t="str">
        <f>HYPERLINK("https://mississippidhs.jamacloud.com/perspective.req?projectId=53&amp;docId=29619","LSRP-SHRQ-1678")</f>
        <v>LSRP-SHRQ-1678</v>
      </c>
      <c r="B1687" s="8" t="s">
        <v>2043</v>
      </c>
      <c r="C1687" s="35" t="s">
        <v>401</v>
      </c>
      <c r="D1687" s="36" t="s">
        <v>37</v>
      </c>
      <c r="E1687" s="37" t="s">
        <v>779</v>
      </c>
      <c r="F1687" s="35" t="s">
        <v>2044</v>
      </c>
      <c r="G1687" s="7"/>
      <c r="H1687" s="7"/>
      <c r="I1687" s="12"/>
    </row>
    <row r="1688" spans="1:9" ht="25.5" x14ac:dyDescent="0.2">
      <c r="A1688" s="35" t="str">
        <f>HYPERLINK("https://mississippidhs.jamacloud.com/perspective.req?projectId=53&amp;docId=29620","LSRP-SHRQ-1679")</f>
        <v>LSRP-SHRQ-1679</v>
      </c>
      <c r="B1688" s="8" t="s">
        <v>2045</v>
      </c>
      <c r="C1688" s="35" t="s">
        <v>401</v>
      </c>
      <c r="D1688" s="36" t="s">
        <v>37</v>
      </c>
      <c r="E1688" s="37" t="s">
        <v>779</v>
      </c>
      <c r="F1688" s="35" t="s">
        <v>2044</v>
      </c>
      <c r="G1688" s="7"/>
      <c r="H1688" s="7"/>
      <c r="I1688" s="12"/>
    </row>
    <row r="1689" spans="1:9" ht="14.25" x14ac:dyDescent="0.2">
      <c r="A1689" s="35" t="str">
        <f>HYPERLINK("https://mississippidhs.jamacloud.com/perspective.req?projectId=53&amp;docId=29621","LSRP-SHRQ-1680")</f>
        <v>LSRP-SHRQ-1680</v>
      </c>
      <c r="B1689" s="8" t="s">
        <v>2046</v>
      </c>
      <c r="C1689" s="35" t="s">
        <v>401</v>
      </c>
      <c r="D1689" s="36" t="s">
        <v>37</v>
      </c>
      <c r="E1689" s="37" t="s">
        <v>779</v>
      </c>
      <c r="F1689" s="35" t="s">
        <v>2044</v>
      </c>
      <c r="G1689" s="7"/>
      <c r="H1689" s="7"/>
      <c r="I1689" s="12"/>
    </row>
    <row r="1690" spans="1:9" ht="38.25" x14ac:dyDescent="0.2">
      <c r="A1690" s="35" t="str">
        <f>HYPERLINK("https://mississippidhs.jamacloud.com/perspective.req?projectId=53&amp;docId=29622","LSRP-SHRQ-1681")</f>
        <v>LSRP-SHRQ-1681</v>
      </c>
      <c r="B1690" s="8" t="s">
        <v>2047</v>
      </c>
      <c r="C1690" s="35" t="s">
        <v>401</v>
      </c>
      <c r="D1690" s="36" t="s">
        <v>37</v>
      </c>
      <c r="E1690" s="37" t="s">
        <v>779</v>
      </c>
      <c r="F1690" s="35" t="s">
        <v>2048</v>
      </c>
      <c r="G1690" s="7"/>
      <c r="H1690" s="7"/>
      <c r="I1690" s="12"/>
    </row>
    <row r="1691" spans="1:9" ht="25.5" x14ac:dyDescent="0.2">
      <c r="A1691" s="35" t="str">
        <f>HYPERLINK("https://mississippidhs.jamacloud.com/perspective.req?projectId=53&amp;docId=29623","LSRP-SHRQ-1682")</f>
        <v>LSRP-SHRQ-1682</v>
      </c>
      <c r="B1691" s="8" t="s">
        <v>2049</v>
      </c>
      <c r="C1691" s="35" t="s">
        <v>401</v>
      </c>
      <c r="D1691" s="36" t="s">
        <v>37</v>
      </c>
      <c r="E1691" s="37" t="s">
        <v>779</v>
      </c>
      <c r="F1691" s="35" t="s">
        <v>2044</v>
      </c>
      <c r="G1691" s="7"/>
      <c r="H1691" s="7"/>
      <c r="I1691" s="12"/>
    </row>
    <row r="1692" spans="1:9" ht="25.5" x14ac:dyDescent="0.2">
      <c r="A1692" s="35" t="str">
        <f>HYPERLINK("https://mississippidhs.jamacloud.com/perspective.req?projectId=53&amp;docId=29624","LSRP-SHRQ-1683")</f>
        <v>LSRP-SHRQ-1683</v>
      </c>
      <c r="B1692" s="8" t="s">
        <v>2050</v>
      </c>
      <c r="C1692" s="35" t="s">
        <v>401</v>
      </c>
      <c r="D1692" s="36" t="s">
        <v>37</v>
      </c>
      <c r="E1692" s="37" t="s">
        <v>779</v>
      </c>
      <c r="F1692" s="35" t="s">
        <v>2044</v>
      </c>
      <c r="G1692" s="7"/>
      <c r="H1692" s="7"/>
      <c r="I1692" s="12"/>
    </row>
    <row r="1693" spans="1:9" ht="25.5" x14ac:dyDescent="0.2">
      <c r="A1693" s="35" t="str">
        <f>HYPERLINK("https://mississippidhs.jamacloud.com/perspective.req?projectId=53&amp;docId=29625","LSRP-SHRQ-1684")</f>
        <v>LSRP-SHRQ-1684</v>
      </c>
      <c r="B1693" s="8" t="s">
        <v>2051</v>
      </c>
      <c r="C1693" s="35" t="s">
        <v>401</v>
      </c>
      <c r="D1693" s="36" t="s">
        <v>37</v>
      </c>
      <c r="E1693" s="37" t="s">
        <v>779</v>
      </c>
      <c r="F1693" s="35" t="s">
        <v>2048</v>
      </c>
      <c r="G1693" s="7"/>
      <c r="H1693" s="7"/>
      <c r="I1693" s="12"/>
    </row>
    <row r="1694" spans="1:9" ht="25.5" x14ac:dyDescent="0.2">
      <c r="A1694" s="35" t="str">
        <f>HYPERLINK("https://mississippidhs.jamacloud.com/perspective.req?projectId=53&amp;docId=29626","LSRP-SHRQ-1685")</f>
        <v>LSRP-SHRQ-1685</v>
      </c>
      <c r="B1694" s="8" t="s">
        <v>2052</v>
      </c>
      <c r="C1694" s="35" t="s">
        <v>401</v>
      </c>
      <c r="D1694" s="36" t="s">
        <v>37</v>
      </c>
      <c r="E1694" s="37" t="s">
        <v>779</v>
      </c>
      <c r="F1694" s="35" t="s">
        <v>554</v>
      </c>
      <c r="G1694" s="7"/>
      <c r="H1694" s="7"/>
      <c r="I1694" s="12"/>
    </row>
    <row r="1695" spans="1:9" ht="25.5" x14ac:dyDescent="0.2">
      <c r="A1695" s="35" t="str">
        <f>HYPERLINK("https://mississippidhs.jamacloud.com/perspective.req?projectId=53&amp;docId=29627","LSRP-SHRQ-1686")</f>
        <v>LSRP-SHRQ-1686</v>
      </c>
      <c r="B1695" s="8" t="s">
        <v>2053</v>
      </c>
      <c r="C1695" s="35" t="s">
        <v>401</v>
      </c>
      <c r="D1695" s="36" t="s">
        <v>37</v>
      </c>
      <c r="E1695" s="37" t="s">
        <v>779</v>
      </c>
      <c r="F1695" s="35" t="s">
        <v>322</v>
      </c>
      <c r="G1695" s="7"/>
      <c r="H1695" s="7"/>
      <c r="I1695" s="12"/>
    </row>
    <row r="1696" spans="1:9" ht="25.5" x14ac:dyDescent="0.2">
      <c r="A1696" s="35" t="str">
        <f>HYPERLINK("https://mississippidhs.jamacloud.com/perspective.req?projectId=53&amp;docId=29740","LSRP-SHRQ-1793")</f>
        <v>LSRP-SHRQ-1793</v>
      </c>
      <c r="B1696" s="8" t="s">
        <v>2054</v>
      </c>
      <c r="C1696" s="35" t="s">
        <v>401</v>
      </c>
      <c r="D1696" s="36" t="s">
        <v>37</v>
      </c>
      <c r="E1696" s="37" t="s">
        <v>779</v>
      </c>
      <c r="F1696" s="35" t="s">
        <v>289</v>
      </c>
      <c r="G1696" s="7"/>
      <c r="H1696" s="7"/>
      <c r="I1696" s="12"/>
    </row>
    <row r="1697" spans="1:9" ht="25.5" x14ac:dyDescent="0.2">
      <c r="A1697" s="35" t="str">
        <f>HYPERLINK("https://mississippidhs.jamacloud.com/perspective.req?projectId=53&amp;docId=29741","LSRP-SHRQ-1794")</f>
        <v>LSRP-SHRQ-1794</v>
      </c>
      <c r="B1697" s="8" t="s">
        <v>2055</v>
      </c>
      <c r="C1697" s="35" t="s">
        <v>401</v>
      </c>
      <c r="D1697" s="36" t="s">
        <v>37</v>
      </c>
      <c r="E1697" s="37" t="s">
        <v>779</v>
      </c>
      <c r="F1697" s="35" t="s">
        <v>289</v>
      </c>
      <c r="G1697" s="7"/>
      <c r="H1697" s="7"/>
      <c r="I1697" s="12"/>
    </row>
    <row r="1698" spans="1:9" ht="25.5" x14ac:dyDescent="0.2">
      <c r="A1698" s="35" t="str">
        <f>HYPERLINK("https://mississippidhs.jamacloud.com/perspective.req?projectId=53&amp;docId=29742","LSRP-SHRQ-1795")</f>
        <v>LSRP-SHRQ-1795</v>
      </c>
      <c r="B1698" s="31" t="s">
        <v>2056</v>
      </c>
      <c r="C1698" s="35" t="s">
        <v>401</v>
      </c>
      <c r="D1698" s="36" t="s">
        <v>37</v>
      </c>
      <c r="E1698" s="37" t="s">
        <v>779</v>
      </c>
      <c r="F1698" s="35" t="s">
        <v>289</v>
      </c>
      <c r="G1698" s="7"/>
      <c r="H1698" s="7"/>
      <c r="I1698" s="12"/>
    </row>
    <row r="1699" spans="1:9" ht="25.5" x14ac:dyDescent="0.2">
      <c r="A1699" s="35" t="str">
        <f>HYPERLINK("https://mississippidhs.jamacloud.com/perspective.req?projectId=53&amp;docId=29743","LSRP-SHRQ-1796")</f>
        <v>LSRP-SHRQ-1796</v>
      </c>
      <c r="B1699" s="8" t="s">
        <v>2057</v>
      </c>
      <c r="C1699" s="35" t="s">
        <v>401</v>
      </c>
      <c r="D1699" s="36" t="s">
        <v>37</v>
      </c>
      <c r="E1699" s="37" t="s">
        <v>779</v>
      </c>
      <c r="F1699" s="35" t="s">
        <v>289</v>
      </c>
      <c r="G1699" s="7"/>
      <c r="H1699" s="7"/>
      <c r="I1699" s="12"/>
    </row>
    <row r="1700" spans="1:9" ht="14.25" x14ac:dyDescent="0.2">
      <c r="A1700" s="35" t="str">
        <f>HYPERLINK("https://mississippidhs.jamacloud.com/perspective.req?projectId=53&amp;docId=29744","LSRP-SHRQ-1797")</f>
        <v>LSRP-SHRQ-1797</v>
      </c>
      <c r="B1700" s="8" t="s">
        <v>2058</v>
      </c>
      <c r="C1700" s="35" t="s">
        <v>401</v>
      </c>
      <c r="D1700" s="36" t="s">
        <v>37</v>
      </c>
      <c r="E1700" s="37" t="s">
        <v>779</v>
      </c>
      <c r="F1700" s="35" t="s">
        <v>289</v>
      </c>
      <c r="G1700" s="7"/>
      <c r="H1700" s="7"/>
      <c r="I1700" s="12"/>
    </row>
    <row r="1701" spans="1:9" ht="25.5" x14ac:dyDescent="0.2">
      <c r="A1701" s="35" t="str">
        <f>HYPERLINK("https://mississippidhs.jamacloud.com/perspective.req?projectId=53&amp;docId=29745","LSRP-SHRQ-1798")</f>
        <v>LSRP-SHRQ-1798</v>
      </c>
      <c r="B1701" s="31" t="s">
        <v>2059</v>
      </c>
      <c r="C1701" s="35" t="s">
        <v>401</v>
      </c>
      <c r="D1701" s="36" t="s">
        <v>37</v>
      </c>
      <c r="E1701" s="37" t="s">
        <v>779</v>
      </c>
      <c r="F1701" s="35" t="s">
        <v>289</v>
      </c>
      <c r="G1701" s="7"/>
      <c r="H1701" s="7"/>
      <c r="I1701" s="12"/>
    </row>
    <row r="1702" spans="1:9" ht="14.25" x14ac:dyDescent="0.2">
      <c r="A1702" s="35" t="str">
        <f>HYPERLINK("https://mississippidhs.jamacloud.com/perspective.req?projectId=53&amp;docId=29746","LSRP-SHRQ-1799")</f>
        <v>LSRP-SHRQ-1799</v>
      </c>
      <c r="B1702" s="8" t="s">
        <v>2060</v>
      </c>
      <c r="C1702" s="35" t="s">
        <v>401</v>
      </c>
      <c r="D1702" s="36" t="s">
        <v>37</v>
      </c>
      <c r="E1702" s="37" t="s">
        <v>779</v>
      </c>
      <c r="F1702" s="35" t="s">
        <v>289</v>
      </c>
      <c r="G1702" s="7"/>
      <c r="H1702" s="7"/>
      <c r="I1702" s="12"/>
    </row>
    <row r="1703" spans="1:9" ht="14.25" x14ac:dyDescent="0.2">
      <c r="A1703" s="35" t="str">
        <f>HYPERLINK("https://mississippidhs.jamacloud.com/perspective.req?projectId=53&amp;docId=29747","LSRP-SHRQ-1800")</f>
        <v>LSRP-SHRQ-1800</v>
      </c>
      <c r="B1703" s="8" t="s">
        <v>2061</v>
      </c>
      <c r="C1703" s="35" t="s">
        <v>401</v>
      </c>
      <c r="D1703" s="36" t="s">
        <v>37</v>
      </c>
      <c r="E1703" s="37" t="s">
        <v>779</v>
      </c>
      <c r="F1703" s="35" t="s">
        <v>289</v>
      </c>
      <c r="G1703" s="7"/>
      <c r="H1703" s="7"/>
      <c r="I1703" s="12"/>
    </row>
    <row r="1704" spans="1:9" ht="25.5" x14ac:dyDescent="0.2">
      <c r="A1704" s="35" t="str">
        <f>HYPERLINK("https://mississippidhs.jamacloud.com/perspective.req?projectId=53&amp;docId=29748","LSRP-SHRQ-1801")</f>
        <v>LSRP-SHRQ-1801</v>
      </c>
      <c r="B1704" s="8" t="s">
        <v>2062</v>
      </c>
      <c r="C1704" s="35" t="s">
        <v>401</v>
      </c>
      <c r="D1704" s="36" t="s">
        <v>37</v>
      </c>
      <c r="E1704" s="37" t="s">
        <v>779</v>
      </c>
      <c r="F1704" s="35" t="s">
        <v>289</v>
      </c>
      <c r="G1704" s="7"/>
      <c r="H1704" s="7"/>
      <c r="I1704" s="12"/>
    </row>
    <row r="1705" spans="1:9" ht="25.5" x14ac:dyDescent="0.2">
      <c r="A1705" s="35" t="str">
        <f>HYPERLINK("https://mississippidhs.jamacloud.com/perspective.req?projectId=53&amp;docId=29749","LSRP-SHRQ-1802")</f>
        <v>LSRP-SHRQ-1802</v>
      </c>
      <c r="B1705" s="8" t="s">
        <v>2063</v>
      </c>
      <c r="C1705" s="35" t="s">
        <v>401</v>
      </c>
      <c r="D1705" s="36" t="s">
        <v>37</v>
      </c>
      <c r="E1705" s="37" t="s">
        <v>779</v>
      </c>
      <c r="F1705" s="35" t="s">
        <v>289</v>
      </c>
      <c r="G1705" s="7"/>
      <c r="H1705" s="7"/>
      <c r="I1705" s="12"/>
    </row>
    <row r="1706" spans="1:9" ht="38.25" x14ac:dyDescent="0.2">
      <c r="A1706" s="35" t="str">
        <f>HYPERLINK("https://mississippidhs.jamacloud.com/perspective.req?projectId=53&amp;docId=29750","LSRP-SHRQ-1803")</f>
        <v>LSRP-SHRQ-1803</v>
      </c>
      <c r="B1706" s="31" t="s">
        <v>2064</v>
      </c>
      <c r="C1706" s="35" t="s">
        <v>401</v>
      </c>
      <c r="D1706" s="36" t="s">
        <v>37</v>
      </c>
      <c r="E1706" s="37" t="s">
        <v>779</v>
      </c>
      <c r="F1706" s="35" t="s">
        <v>2044</v>
      </c>
      <c r="G1706" s="7"/>
      <c r="H1706" s="7"/>
      <c r="I1706" s="12"/>
    </row>
    <row r="1707" spans="1:9" ht="63.75" x14ac:dyDescent="0.2">
      <c r="A1707" s="35" t="str">
        <f>HYPERLINK("https://mississippidhs.jamacloud.com/perspective.req?projectId=53&amp;docId=29629","LSRP-SHRQ-1687")</f>
        <v>LSRP-SHRQ-1687</v>
      </c>
      <c r="B1707" s="8" t="s">
        <v>2065</v>
      </c>
      <c r="C1707" s="35" t="s">
        <v>319</v>
      </c>
      <c r="D1707" s="36" t="s">
        <v>2066</v>
      </c>
      <c r="E1707" s="37" t="s">
        <v>779</v>
      </c>
      <c r="F1707" s="35" t="s">
        <v>322</v>
      </c>
      <c r="G1707" s="7"/>
      <c r="H1707" s="7"/>
      <c r="I1707" s="12"/>
    </row>
    <row r="1708" spans="1:9" ht="38.25" x14ac:dyDescent="0.2">
      <c r="A1708" s="35" t="str">
        <f>HYPERLINK("https://mississippidhs.jamacloud.com/perspective.req?projectId=53&amp;docId=29630","LSRP-SHRQ-1688")</f>
        <v>LSRP-SHRQ-1688</v>
      </c>
      <c r="B1708" s="8" t="s">
        <v>2067</v>
      </c>
      <c r="C1708" s="35" t="s">
        <v>319</v>
      </c>
      <c r="D1708" s="36" t="s">
        <v>2066</v>
      </c>
      <c r="E1708" s="37" t="s">
        <v>779</v>
      </c>
      <c r="F1708" s="35" t="s">
        <v>322</v>
      </c>
      <c r="G1708" s="7"/>
      <c r="H1708" s="7"/>
      <c r="I1708" s="12"/>
    </row>
    <row r="1709" spans="1:9" ht="51" x14ac:dyDescent="0.2">
      <c r="A1709" s="35" t="str">
        <f>HYPERLINK("https://mississippidhs.jamacloud.com/perspective.req?projectId=53&amp;docId=29631","LSRP-SHRQ-1689")</f>
        <v>LSRP-SHRQ-1689</v>
      </c>
      <c r="B1709" s="8" t="s">
        <v>2068</v>
      </c>
      <c r="C1709" s="35" t="s">
        <v>319</v>
      </c>
      <c r="D1709" s="36" t="s">
        <v>2066</v>
      </c>
      <c r="E1709" s="37" t="s">
        <v>779</v>
      </c>
      <c r="F1709" s="35" t="s">
        <v>322</v>
      </c>
      <c r="G1709" s="7"/>
      <c r="H1709" s="7"/>
      <c r="I1709" s="12"/>
    </row>
    <row r="1710" spans="1:9" ht="63.75" x14ac:dyDescent="0.2">
      <c r="A1710" s="35" t="str">
        <f>HYPERLINK("https://mississippidhs.jamacloud.com/perspective.req?projectId=53&amp;docId=29632","LSRP-SHRQ-1690")</f>
        <v>LSRP-SHRQ-1690</v>
      </c>
      <c r="B1710" s="8" t="s">
        <v>2069</v>
      </c>
      <c r="C1710" s="35" t="s">
        <v>319</v>
      </c>
      <c r="D1710" s="36" t="s">
        <v>2066</v>
      </c>
      <c r="E1710" s="37" t="s">
        <v>779</v>
      </c>
      <c r="F1710" s="35" t="s">
        <v>322</v>
      </c>
      <c r="G1710" s="7"/>
      <c r="H1710" s="7"/>
      <c r="I1710" s="12"/>
    </row>
    <row r="1711" spans="1:9" ht="51" x14ac:dyDescent="0.2">
      <c r="A1711" s="35" t="str">
        <f>HYPERLINK("https://mississippidhs.jamacloud.com/perspective.req?projectId=53&amp;docId=29633","LSRP-SHRQ-1691")</f>
        <v>LSRP-SHRQ-1691</v>
      </c>
      <c r="B1711" s="8" t="s">
        <v>2070</v>
      </c>
      <c r="C1711" s="35" t="s">
        <v>319</v>
      </c>
      <c r="D1711" s="36" t="s">
        <v>2066</v>
      </c>
      <c r="E1711" s="37" t="s">
        <v>779</v>
      </c>
      <c r="F1711" s="35" t="s">
        <v>322</v>
      </c>
      <c r="G1711" s="7"/>
      <c r="H1711" s="7"/>
      <c r="I1711" s="12"/>
    </row>
    <row r="1712" spans="1:9" ht="25.5" x14ac:dyDescent="0.2">
      <c r="A1712" s="35" t="str">
        <f>HYPERLINK("https://mississippidhs.jamacloud.com/perspective.req?projectId=53&amp;docId=29634","LSRP-SHRQ-1692")</f>
        <v>LSRP-SHRQ-1692</v>
      </c>
      <c r="B1712" s="8" t="s">
        <v>2071</v>
      </c>
      <c r="C1712" s="35" t="s">
        <v>319</v>
      </c>
      <c r="D1712" s="36" t="s">
        <v>2066</v>
      </c>
      <c r="E1712" s="37" t="s">
        <v>779</v>
      </c>
      <c r="F1712" s="35" t="s">
        <v>322</v>
      </c>
      <c r="G1712" s="7"/>
      <c r="H1712" s="7"/>
      <c r="I1712" s="12"/>
    </row>
    <row r="1713" spans="1:9" ht="25.5" x14ac:dyDescent="0.2">
      <c r="A1713" s="35" t="str">
        <f>HYPERLINK("https://mississippidhs.jamacloud.com/perspective.req?projectId=53&amp;docId=29635","LSRP-SHRQ-1693")</f>
        <v>LSRP-SHRQ-1693</v>
      </c>
      <c r="B1713" s="8" t="s">
        <v>2072</v>
      </c>
      <c r="C1713" s="35" t="s">
        <v>319</v>
      </c>
      <c r="D1713" s="36" t="s">
        <v>2066</v>
      </c>
      <c r="E1713" s="37" t="s">
        <v>779</v>
      </c>
      <c r="F1713" s="35" t="s">
        <v>322</v>
      </c>
      <c r="G1713" s="7"/>
      <c r="H1713" s="7"/>
      <c r="I1713" s="12"/>
    </row>
    <row r="1714" spans="1:9" ht="25.5" x14ac:dyDescent="0.2">
      <c r="A1714" s="35" t="str">
        <f>HYPERLINK("https://mississippidhs.jamacloud.com/perspective.req?projectId=53&amp;docId=29636","LSRP-SHRQ-1694")</f>
        <v>LSRP-SHRQ-1694</v>
      </c>
      <c r="B1714" s="8" t="s">
        <v>2073</v>
      </c>
      <c r="C1714" s="35" t="s">
        <v>319</v>
      </c>
      <c r="D1714" s="36" t="s">
        <v>2066</v>
      </c>
      <c r="E1714" s="37" t="s">
        <v>779</v>
      </c>
      <c r="F1714" s="35" t="s">
        <v>322</v>
      </c>
      <c r="G1714" s="7"/>
      <c r="H1714" s="7"/>
      <c r="I1714" s="12"/>
    </row>
    <row r="1715" spans="1:9" ht="25.5" x14ac:dyDescent="0.2">
      <c r="A1715" s="35" t="str">
        <f>HYPERLINK("https://mississippidhs.jamacloud.com/perspective.req?projectId=53&amp;docId=29637","LSRP-SHRQ-1695")</f>
        <v>LSRP-SHRQ-1695</v>
      </c>
      <c r="B1715" s="8" t="s">
        <v>2074</v>
      </c>
      <c r="C1715" s="35" t="s">
        <v>319</v>
      </c>
      <c r="D1715" s="36" t="s">
        <v>2066</v>
      </c>
      <c r="E1715" s="37" t="s">
        <v>779</v>
      </c>
      <c r="F1715" s="35" t="s">
        <v>322</v>
      </c>
      <c r="G1715" s="7"/>
      <c r="H1715" s="7"/>
      <c r="I1715" s="12"/>
    </row>
    <row r="1716" spans="1:9" ht="25.5" x14ac:dyDescent="0.2">
      <c r="A1716" s="35" t="str">
        <f>HYPERLINK("https://mississippidhs.jamacloud.com/perspective.req?projectId=53&amp;docId=29638","LSRP-SHRQ-1696")</f>
        <v>LSRP-SHRQ-1696</v>
      </c>
      <c r="B1716" s="8" t="s">
        <v>2075</v>
      </c>
      <c r="C1716" s="35" t="s">
        <v>319</v>
      </c>
      <c r="D1716" s="36" t="s">
        <v>2066</v>
      </c>
      <c r="E1716" s="37" t="s">
        <v>779</v>
      </c>
      <c r="F1716" s="35" t="s">
        <v>322</v>
      </c>
      <c r="G1716" s="7"/>
      <c r="H1716" s="7"/>
      <c r="I1716" s="12"/>
    </row>
    <row r="1717" spans="1:9" ht="25.5" x14ac:dyDescent="0.2">
      <c r="A1717" s="35" t="str">
        <f>HYPERLINK("https://mississippidhs.jamacloud.com/perspective.req?projectId=53&amp;docId=29639","LSRP-SHRQ-1697")</f>
        <v>LSRP-SHRQ-1697</v>
      </c>
      <c r="B1717" s="8" t="s">
        <v>2076</v>
      </c>
      <c r="C1717" s="35" t="s">
        <v>319</v>
      </c>
      <c r="D1717" s="36" t="s">
        <v>2066</v>
      </c>
      <c r="E1717" s="37" t="s">
        <v>779</v>
      </c>
      <c r="F1717" s="35" t="s">
        <v>322</v>
      </c>
      <c r="G1717" s="7"/>
      <c r="H1717" s="7"/>
      <c r="I1717" s="12"/>
    </row>
    <row r="1718" spans="1:9" ht="51" x14ac:dyDescent="0.2">
      <c r="A1718" s="35" t="str">
        <f>HYPERLINK("https://mississippidhs.jamacloud.com/perspective.req?projectId=53&amp;docId=29640","LSRP-SHRQ-1698")</f>
        <v>LSRP-SHRQ-1698</v>
      </c>
      <c r="B1718" s="8" t="s">
        <v>2077</v>
      </c>
      <c r="C1718" s="35" t="s">
        <v>319</v>
      </c>
      <c r="D1718" s="36" t="s">
        <v>2066</v>
      </c>
      <c r="E1718" s="37" t="s">
        <v>779</v>
      </c>
      <c r="F1718" s="35" t="s">
        <v>322</v>
      </c>
      <c r="G1718" s="7"/>
      <c r="H1718" s="7"/>
      <c r="I1718" s="12"/>
    </row>
    <row r="1719" spans="1:9" ht="38.25" x14ac:dyDescent="0.2">
      <c r="A1719" s="35" t="str">
        <f>HYPERLINK("https://mississippidhs.jamacloud.com/perspective.req?projectId=53&amp;docId=29641","LSRP-SHRQ-1699")</f>
        <v>LSRP-SHRQ-1699</v>
      </c>
      <c r="B1719" s="8" t="s">
        <v>2078</v>
      </c>
      <c r="C1719" s="35" t="s">
        <v>319</v>
      </c>
      <c r="D1719" s="36" t="s">
        <v>2066</v>
      </c>
      <c r="E1719" s="37" t="s">
        <v>779</v>
      </c>
      <c r="F1719" s="35" t="s">
        <v>322</v>
      </c>
      <c r="G1719" s="7"/>
      <c r="H1719" s="7"/>
      <c r="I1719" s="12"/>
    </row>
    <row r="1720" spans="1:9" ht="25.5" x14ac:dyDescent="0.2">
      <c r="A1720" s="35" t="str">
        <f>HYPERLINK("https://mississippidhs.jamacloud.com/perspective.req?projectId=53&amp;docId=29642","LSRP-SHRQ-1700")</f>
        <v>LSRP-SHRQ-1700</v>
      </c>
      <c r="B1720" s="8" t="s">
        <v>2079</v>
      </c>
      <c r="C1720" s="35" t="s">
        <v>319</v>
      </c>
      <c r="D1720" s="36" t="s">
        <v>2066</v>
      </c>
      <c r="E1720" s="37" t="s">
        <v>779</v>
      </c>
      <c r="F1720" s="35" t="s">
        <v>322</v>
      </c>
      <c r="G1720" s="7"/>
      <c r="H1720" s="7"/>
      <c r="I1720" s="12"/>
    </row>
    <row r="1721" spans="1:9" ht="38.25" x14ac:dyDescent="0.2">
      <c r="A1721" s="35" t="str">
        <f>HYPERLINK("https://mississippidhs.jamacloud.com/perspective.req?projectId=53&amp;docId=29643","LSRP-SHRQ-1701")</f>
        <v>LSRP-SHRQ-1701</v>
      </c>
      <c r="B1721" s="8" t="s">
        <v>2080</v>
      </c>
      <c r="C1721" s="35" t="s">
        <v>319</v>
      </c>
      <c r="D1721" s="36" t="s">
        <v>2066</v>
      </c>
      <c r="E1721" s="37" t="s">
        <v>779</v>
      </c>
      <c r="F1721" s="35" t="s">
        <v>322</v>
      </c>
      <c r="G1721" s="7"/>
      <c r="H1721" s="7"/>
      <c r="I1721" s="12"/>
    </row>
    <row r="1722" spans="1:9" ht="38.25" x14ac:dyDescent="0.2">
      <c r="A1722" s="35" t="str">
        <f>HYPERLINK("https://mississippidhs.jamacloud.com/perspective.req?projectId=53&amp;docId=29645","LSRP-SHRQ-1702")</f>
        <v>LSRP-SHRQ-1702</v>
      </c>
      <c r="B1722" s="8" t="s">
        <v>2081</v>
      </c>
      <c r="C1722" s="35" t="s">
        <v>319</v>
      </c>
      <c r="D1722" s="36" t="s">
        <v>2082</v>
      </c>
      <c r="E1722" s="37" t="s">
        <v>779</v>
      </c>
      <c r="F1722" s="35" t="s">
        <v>322</v>
      </c>
      <c r="G1722" s="7"/>
      <c r="H1722" s="7"/>
      <c r="I1722" s="12"/>
    </row>
    <row r="1723" spans="1:9" ht="51" x14ac:dyDescent="0.2">
      <c r="A1723" s="35" t="str">
        <f>HYPERLINK("https://mississippidhs.jamacloud.com/perspective.req?projectId=53&amp;docId=29646","LSRP-SHRQ-1703")</f>
        <v>LSRP-SHRQ-1703</v>
      </c>
      <c r="B1723" s="8" t="s">
        <v>2083</v>
      </c>
      <c r="C1723" s="35" t="s">
        <v>319</v>
      </c>
      <c r="D1723" s="36" t="s">
        <v>2082</v>
      </c>
      <c r="E1723" s="37" t="s">
        <v>779</v>
      </c>
      <c r="F1723" s="35" t="s">
        <v>322</v>
      </c>
      <c r="G1723" s="7"/>
      <c r="H1723" s="7"/>
      <c r="I1723" s="12"/>
    </row>
    <row r="1724" spans="1:9" ht="25.5" x14ac:dyDescent="0.2">
      <c r="A1724" s="35" t="str">
        <f>HYPERLINK("https://mississippidhs.jamacloud.com/perspective.req?projectId=53&amp;docId=29647","LSRP-SHRQ-1704")</f>
        <v>LSRP-SHRQ-1704</v>
      </c>
      <c r="B1724" s="8" t="s">
        <v>2084</v>
      </c>
      <c r="C1724" s="35" t="s">
        <v>319</v>
      </c>
      <c r="D1724" s="36" t="s">
        <v>2082</v>
      </c>
      <c r="E1724" s="37" t="s">
        <v>779</v>
      </c>
      <c r="F1724" s="35" t="s">
        <v>322</v>
      </c>
      <c r="G1724" s="7"/>
      <c r="H1724" s="7"/>
      <c r="I1724" s="12"/>
    </row>
    <row r="1725" spans="1:9" ht="63.75" x14ac:dyDescent="0.2">
      <c r="A1725" s="35" t="str">
        <f>HYPERLINK("https://mississippidhs.jamacloud.com/perspective.req?projectId=53&amp;docId=29648","LSRP-SHRQ-1705")</f>
        <v>LSRP-SHRQ-1705</v>
      </c>
      <c r="B1725" s="8" t="s">
        <v>2085</v>
      </c>
      <c r="C1725" s="35" t="s">
        <v>319</v>
      </c>
      <c r="D1725" s="36" t="s">
        <v>2082</v>
      </c>
      <c r="E1725" s="37" t="s">
        <v>779</v>
      </c>
      <c r="F1725" s="35" t="s">
        <v>322</v>
      </c>
      <c r="G1725" s="7"/>
      <c r="H1725" s="7"/>
      <c r="I1725" s="12"/>
    </row>
    <row r="1726" spans="1:9" ht="25.5" x14ac:dyDescent="0.2">
      <c r="A1726" s="35" t="str">
        <f>HYPERLINK("https://mississippidhs.jamacloud.com/perspective.req?projectId=53&amp;docId=29649","LSRP-SHRQ-1706")</f>
        <v>LSRP-SHRQ-1706</v>
      </c>
      <c r="B1726" s="8" t="s">
        <v>2086</v>
      </c>
      <c r="C1726" s="35" t="s">
        <v>319</v>
      </c>
      <c r="D1726" s="36" t="s">
        <v>2082</v>
      </c>
      <c r="E1726" s="37" t="s">
        <v>779</v>
      </c>
      <c r="F1726" s="35" t="s">
        <v>322</v>
      </c>
      <c r="G1726" s="7"/>
      <c r="H1726" s="7"/>
      <c r="I1726" s="12"/>
    </row>
    <row r="1727" spans="1:9" ht="51" x14ac:dyDescent="0.2">
      <c r="A1727" s="35" t="str">
        <f>HYPERLINK("https://mississippidhs.jamacloud.com/perspective.req?projectId=53&amp;docId=29650","LSRP-SHRQ-1707")</f>
        <v>LSRP-SHRQ-1707</v>
      </c>
      <c r="B1727" s="8" t="s">
        <v>2087</v>
      </c>
      <c r="C1727" s="35" t="s">
        <v>319</v>
      </c>
      <c r="D1727" s="36" t="s">
        <v>2082</v>
      </c>
      <c r="E1727" s="37" t="s">
        <v>779</v>
      </c>
      <c r="F1727" s="35" t="s">
        <v>322</v>
      </c>
      <c r="G1727" s="7"/>
      <c r="H1727" s="7"/>
      <c r="I1727" s="12"/>
    </row>
    <row r="1728" spans="1:9" ht="38.25" x14ac:dyDescent="0.2">
      <c r="A1728" s="35" t="str">
        <f>HYPERLINK("https://mississippidhs.jamacloud.com/perspective.req?projectId=53&amp;docId=29651","LSRP-SHRQ-1708")</f>
        <v>LSRP-SHRQ-1708</v>
      </c>
      <c r="B1728" s="8" t="s">
        <v>2088</v>
      </c>
      <c r="C1728" s="35" t="s">
        <v>319</v>
      </c>
      <c r="D1728" s="36" t="s">
        <v>2082</v>
      </c>
      <c r="E1728" s="37" t="s">
        <v>779</v>
      </c>
      <c r="F1728" s="35" t="s">
        <v>322</v>
      </c>
      <c r="G1728" s="7"/>
      <c r="H1728" s="7"/>
      <c r="I1728" s="12"/>
    </row>
    <row r="1729" spans="1:9" ht="38.25" x14ac:dyDescent="0.2">
      <c r="A1729" s="35" t="str">
        <f>HYPERLINK("https://mississippidhs.jamacloud.com/perspective.req?projectId=53&amp;docId=29652","LSRP-SHRQ-1709")</f>
        <v>LSRP-SHRQ-1709</v>
      </c>
      <c r="B1729" s="8" t="s">
        <v>2089</v>
      </c>
      <c r="C1729" s="35" t="s">
        <v>319</v>
      </c>
      <c r="D1729" s="36" t="s">
        <v>2082</v>
      </c>
      <c r="E1729" s="37" t="s">
        <v>779</v>
      </c>
      <c r="F1729" s="35" t="s">
        <v>322</v>
      </c>
      <c r="G1729" s="7"/>
      <c r="H1729" s="7"/>
      <c r="I1729" s="12"/>
    </row>
    <row r="1730" spans="1:9" ht="25.5" x14ac:dyDescent="0.2">
      <c r="A1730" s="35" t="str">
        <f>HYPERLINK("https://mississippidhs.jamacloud.com/perspective.req?projectId=53&amp;docId=29653","LSRP-SHRQ-1710")</f>
        <v>LSRP-SHRQ-1710</v>
      </c>
      <c r="B1730" s="8" t="s">
        <v>2090</v>
      </c>
      <c r="C1730" s="35" t="s">
        <v>319</v>
      </c>
      <c r="D1730" s="36" t="s">
        <v>2082</v>
      </c>
      <c r="E1730" s="37" t="s">
        <v>779</v>
      </c>
      <c r="F1730" s="35" t="s">
        <v>322</v>
      </c>
      <c r="G1730" s="7"/>
      <c r="H1730" s="7"/>
      <c r="I1730" s="12"/>
    </row>
    <row r="1731" spans="1:9" ht="51" x14ac:dyDescent="0.2">
      <c r="A1731" s="35" t="str">
        <f>HYPERLINK("https://mississippidhs.jamacloud.com/perspective.req?projectId=53&amp;docId=29654","LSRP-SHRQ-1711")</f>
        <v>LSRP-SHRQ-1711</v>
      </c>
      <c r="B1731" s="8" t="s">
        <v>2091</v>
      </c>
      <c r="C1731" s="35" t="s">
        <v>319</v>
      </c>
      <c r="D1731" s="36" t="s">
        <v>2082</v>
      </c>
      <c r="E1731" s="37" t="s">
        <v>779</v>
      </c>
      <c r="F1731" s="35" t="s">
        <v>322</v>
      </c>
      <c r="G1731" s="7"/>
      <c r="H1731" s="7"/>
      <c r="I1731" s="12"/>
    </row>
    <row r="1732" spans="1:9" ht="25.5" x14ac:dyDescent="0.2">
      <c r="A1732" s="35" t="str">
        <f>HYPERLINK("https://mississippidhs.jamacloud.com/perspective.req?projectId=53&amp;docId=29655","LSRP-SHRQ-1712")</f>
        <v>LSRP-SHRQ-1712</v>
      </c>
      <c r="B1732" s="8" t="s">
        <v>2092</v>
      </c>
      <c r="C1732" s="35" t="s">
        <v>319</v>
      </c>
      <c r="D1732" s="36" t="s">
        <v>2082</v>
      </c>
      <c r="E1732" s="37" t="s">
        <v>779</v>
      </c>
      <c r="F1732" s="35" t="s">
        <v>322</v>
      </c>
      <c r="G1732" s="7"/>
      <c r="H1732" s="7"/>
      <c r="I1732" s="12"/>
    </row>
    <row r="1733" spans="1:9" ht="38.25" x14ac:dyDescent="0.2">
      <c r="A1733" s="35" t="str">
        <f>HYPERLINK("https://mississippidhs.jamacloud.com/perspective.req?projectId=53&amp;docId=29656","LSRP-SHRQ-1713")</f>
        <v>LSRP-SHRQ-1713</v>
      </c>
      <c r="B1733" s="8" t="s">
        <v>2093</v>
      </c>
      <c r="C1733" s="35" t="s">
        <v>319</v>
      </c>
      <c r="D1733" s="36" t="s">
        <v>2082</v>
      </c>
      <c r="E1733" s="37" t="s">
        <v>779</v>
      </c>
      <c r="F1733" s="35" t="s">
        <v>322</v>
      </c>
      <c r="G1733" s="7"/>
      <c r="H1733" s="7"/>
      <c r="I1733" s="12"/>
    </row>
    <row r="1734" spans="1:9" ht="38.25" x14ac:dyDescent="0.2">
      <c r="A1734" s="35" t="str">
        <f>HYPERLINK("https://mississippidhs.jamacloud.com/perspective.req?projectId=53&amp;docId=29657","LSRP-SHRQ-1714")</f>
        <v>LSRP-SHRQ-1714</v>
      </c>
      <c r="B1734" s="8" t="s">
        <v>2094</v>
      </c>
      <c r="C1734" s="35" t="s">
        <v>319</v>
      </c>
      <c r="D1734" s="36" t="s">
        <v>2082</v>
      </c>
      <c r="E1734" s="37" t="s">
        <v>779</v>
      </c>
      <c r="F1734" s="35" t="s">
        <v>322</v>
      </c>
      <c r="G1734" s="7"/>
      <c r="H1734" s="7"/>
      <c r="I1734" s="12"/>
    </row>
    <row r="1735" spans="1:9" ht="25.5" x14ac:dyDescent="0.2">
      <c r="A1735" s="35" t="str">
        <f>HYPERLINK("https://mississippidhs.jamacloud.com/perspective.req?projectId=53&amp;docId=29658","LSRP-SHRQ-1715")</f>
        <v>LSRP-SHRQ-1715</v>
      </c>
      <c r="B1735" s="8" t="s">
        <v>2095</v>
      </c>
      <c r="C1735" s="35" t="s">
        <v>319</v>
      </c>
      <c r="D1735" s="36" t="s">
        <v>2082</v>
      </c>
      <c r="E1735" s="37" t="s">
        <v>779</v>
      </c>
      <c r="F1735" s="35" t="s">
        <v>390</v>
      </c>
      <c r="G1735" s="7"/>
      <c r="H1735" s="7"/>
      <c r="I1735" s="12"/>
    </row>
    <row r="1736" spans="1:9" ht="25.5" x14ac:dyDescent="0.2">
      <c r="A1736" s="35" t="str">
        <f>HYPERLINK("https://mississippidhs.jamacloud.com/perspective.req?projectId=53&amp;docId=29659","LSRP-SHRQ-1716")</f>
        <v>LSRP-SHRQ-1716</v>
      </c>
      <c r="B1736" s="8" t="s">
        <v>2096</v>
      </c>
      <c r="C1736" s="35" t="s">
        <v>319</v>
      </c>
      <c r="D1736" s="36" t="s">
        <v>2082</v>
      </c>
      <c r="E1736" s="37" t="s">
        <v>779</v>
      </c>
      <c r="F1736" s="35" t="s">
        <v>322</v>
      </c>
      <c r="G1736" s="7"/>
      <c r="H1736" s="7"/>
      <c r="I1736" s="12"/>
    </row>
    <row r="1737" spans="1:9" ht="38.25" x14ac:dyDescent="0.2">
      <c r="A1737" s="35" t="str">
        <f>HYPERLINK("https://mississippidhs.jamacloud.com/perspective.req?projectId=53&amp;docId=29660","LSRP-SHRQ-1717")</f>
        <v>LSRP-SHRQ-1717</v>
      </c>
      <c r="B1737" s="8" t="s">
        <v>2097</v>
      </c>
      <c r="C1737" s="35" t="s">
        <v>319</v>
      </c>
      <c r="D1737" s="36" t="s">
        <v>2082</v>
      </c>
      <c r="E1737" s="37" t="s">
        <v>779</v>
      </c>
      <c r="F1737" s="35" t="s">
        <v>322</v>
      </c>
      <c r="G1737" s="7"/>
      <c r="H1737" s="7"/>
      <c r="I1737" s="12"/>
    </row>
    <row r="1738" spans="1:9" ht="51" x14ac:dyDescent="0.2">
      <c r="A1738" s="35" t="str">
        <f>HYPERLINK("https://mississippidhs.jamacloud.com/perspective.req?projectId=53&amp;docId=29661","LSRP-SHRQ-1718")</f>
        <v>LSRP-SHRQ-1718</v>
      </c>
      <c r="B1738" s="8" t="s">
        <v>2098</v>
      </c>
      <c r="C1738" s="35" t="s">
        <v>319</v>
      </c>
      <c r="D1738" s="36" t="s">
        <v>2082</v>
      </c>
      <c r="E1738" s="37" t="s">
        <v>779</v>
      </c>
      <c r="F1738" s="35" t="s">
        <v>322</v>
      </c>
      <c r="G1738" s="7"/>
      <c r="H1738" s="7"/>
      <c r="I1738" s="12"/>
    </row>
    <row r="1739" spans="1:9" ht="25.5" x14ac:dyDescent="0.2">
      <c r="A1739" s="35" t="str">
        <f>HYPERLINK("https://mississippidhs.jamacloud.com/perspective.req?projectId=53&amp;docId=29662","LSRP-SHRQ-1719")</f>
        <v>LSRP-SHRQ-1719</v>
      </c>
      <c r="B1739" s="8" t="s">
        <v>2099</v>
      </c>
      <c r="C1739" s="35" t="s">
        <v>319</v>
      </c>
      <c r="D1739" s="36" t="s">
        <v>2082</v>
      </c>
      <c r="E1739" s="37" t="s">
        <v>779</v>
      </c>
      <c r="F1739" s="35" t="s">
        <v>322</v>
      </c>
      <c r="G1739" s="7"/>
      <c r="H1739" s="7"/>
      <c r="I1739" s="12"/>
    </row>
    <row r="1740" spans="1:9" ht="38.25" x14ac:dyDescent="0.2">
      <c r="A1740" s="35" t="str">
        <f>HYPERLINK("https://mississippidhs.jamacloud.com/perspective.req?projectId=53&amp;docId=29663","LSRP-SHRQ-1720")</f>
        <v>LSRP-SHRQ-1720</v>
      </c>
      <c r="B1740" s="8" t="s">
        <v>2100</v>
      </c>
      <c r="C1740" s="35" t="s">
        <v>319</v>
      </c>
      <c r="D1740" s="36" t="s">
        <v>2082</v>
      </c>
      <c r="E1740" s="37" t="s">
        <v>779</v>
      </c>
      <c r="F1740" s="35" t="s">
        <v>322</v>
      </c>
      <c r="G1740" s="7"/>
      <c r="H1740" s="7"/>
      <c r="I1740" s="12"/>
    </row>
    <row r="1741" spans="1:9" ht="25.5" x14ac:dyDescent="0.2">
      <c r="A1741" s="35" t="str">
        <f>HYPERLINK("https://mississippidhs.jamacloud.com/perspective.req?projectId=53&amp;docId=29664","LSRP-SHRQ-1721")</f>
        <v>LSRP-SHRQ-1721</v>
      </c>
      <c r="B1741" s="8" t="s">
        <v>2101</v>
      </c>
      <c r="C1741" s="35" t="s">
        <v>319</v>
      </c>
      <c r="D1741" s="36" t="s">
        <v>2082</v>
      </c>
      <c r="E1741" s="37" t="s">
        <v>779</v>
      </c>
      <c r="F1741" s="35" t="s">
        <v>322</v>
      </c>
      <c r="G1741" s="7"/>
      <c r="H1741" s="7"/>
      <c r="I1741" s="12"/>
    </row>
    <row r="1742" spans="1:9" ht="51" x14ac:dyDescent="0.2">
      <c r="A1742" s="35" t="str">
        <f>HYPERLINK("https://mississippidhs.jamacloud.com/perspective.req?projectId=53&amp;docId=29665","LSRP-SHRQ-1722")</f>
        <v>LSRP-SHRQ-1722</v>
      </c>
      <c r="B1742" s="8" t="s">
        <v>2102</v>
      </c>
      <c r="C1742" s="35" t="s">
        <v>319</v>
      </c>
      <c r="D1742" s="36" t="s">
        <v>2082</v>
      </c>
      <c r="E1742" s="37" t="s">
        <v>779</v>
      </c>
      <c r="F1742" s="35" t="s">
        <v>322</v>
      </c>
      <c r="G1742" s="7"/>
      <c r="H1742" s="7"/>
      <c r="I1742" s="12"/>
    </row>
    <row r="1743" spans="1:9" ht="25.5" x14ac:dyDescent="0.2">
      <c r="A1743" s="35" t="str">
        <f>HYPERLINK("https://mississippidhs.jamacloud.com/perspective.req?projectId=53&amp;docId=29666","LSRP-SHRQ-1723")</f>
        <v>LSRP-SHRQ-1723</v>
      </c>
      <c r="B1743" s="8" t="s">
        <v>2103</v>
      </c>
      <c r="C1743" s="35" t="s">
        <v>319</v>
      </c>
      <c r="D1743" s="36" t="s">
        <v>2082</v>
      </c>
      <c r="E1743" s="37" t="s">
        <v>779</v>
      </c>
      <c r="F1743" s="35" t="s">
        <v>322</v>
      </c>
      <c r="G1743" s="7"/>
      <c r="H1743" s="7"/>
      <c r="I1743" s="12"/>
    </row>
    <row r="1744" spans="1:9" ht="25.5" x14ac:dyDescent="0.2">
      <c r="A1744" s="35" t="str">
        <f>HYPERLINK("https://mississippidhs.jamacloud.com/perspective.req?projectId=53&amp;docId=29667","LSRP-SHRQ-1724")</f>
        <v>LSRP-SHRQ-1724</v>
      </c>
      <c r="B1744" s="8" t="s">
        <v>2104</v>
      </c>
      <c r="C1744" s="35" t="s">
        <v>319</v>
      </c>
      <c r="D1744" s="36" t="s">
        <v>2082</v>
      </c>
      <c r="E1744" s="37" t="s">
        <v>779</v>
      </c>
      <c r="F1744" s="35" t="s">
        <v>322</v>
      </c>
      <c r="G1744" s="7"/>
      <c r="H1744" s="7"/>
      <c r="I1744" s="12"/>
    </row>
    <row r="1745" spans="1:9" ht="14.25" x14ac:dyDescent="0.2">
      <c r="A1745" s="35" t="str">
        <f>HYPERLINK("https://mississippidhs.jamacloud.com/perspective.req?projectId=53&amp;docId=29668","LSRP-SHRQ-1725")</f>
        <v>LSRP-SHRQ-1725</v>
      </c>
      <c r="B1745" s="8" t="s">
        <v>2105</v>
      </c>
      <c r="C1745" s="35" t="s">
        <v>319</v>
      </c>
      <c r="D1745" s="36" t="s">
        <v>2082</v>
      </c>
      <c r="E1745" s="37" t="s">
        <v>779</v>
      </c>
      <c r="F1745" s="35" t="s">
        <v>322</v>
      </c>
      <c r="G1745" s="7"/>
      <c r="H1745" s="7"/>
      <c r="I1745" s="12"/>
    </row>
    <row r="1746" spans="1:9" ht="25.5" x14ac:dyDescent="0.2">
      <c r="A1746" s="35" t="str">
        <f>HYPERLINK("https://mississippidhs.jamacloud.com/perspective.req?projectId=53&amp;docId=29669","LSRP-SHRQ-1726")</f>
        <v>LSRP-SHRQ-1726</v>
      </c>
      <c r="B1746" s="8" t="s">
        <v>2106</v>
      </c>
      <c r="C1746" s="35" t="s">
        <v>319</v>
      </c>
      <c r="D1746" s="36" t="s">
        <v>2082</v>
      </c>
      <c r="E1746" s="37" t="s">
        <v>779</v>
      </c>
      <c r="F1746" s="35" t="s">
        <v>322</v>
      </c>
      <c r="G1746" s="7"/>
      <c r="H1746" s="7"/>
      <c r="I1746" s="12"/>
    </row>
    <row r="1747" spans="1:9" ht="25.5" x14ac:dyDescent="0.2">
      <c r="A1747" s="35" t="str">
        <f>HYPERLINK("https://mississippidhs.jamacloud.com/perspective.req?projectId=53&amp;docId=29670","LSRP-SHRQ-1727")</f>
        <v>LSRP-SHRQ-1727</v>
      </c>
      <c r="B1747" s="8" t="s">
        <v>2107</v>
      </c>
      <c r="C1747" s="35" t="s">
        <v>319</v>
      </c>
      <c r="D1747" s="36" t="s">
        <v>2082</v>
      </c>
      <c r="E1747" s="37" t="s">
        <v>779</v>
      </c>
      <c r="F1747" s="35" t="s">
        <v>322</v>
      </c>
      <c r="G1747" s="7"/>
      <c r="H1747" s="7"/>
      <c r="I1747" s="12"/>
    </row>
    <row r="1748" spans="1:9" ht="38.25" x14ac:dyDescent="0.2">
      <c r="A1748" s="35" t="str">
        <f>HYPERLINK("https://mississippidhs.jamacloud.com/perspective.req?projectId=53&amp;docId=29671","LSRP-SHRQ-1728")</f>
        <v>LSRP-SHRQ-1728</v>
      </c>
      <c r="B1748" s="8" t="s">
        <v>2108</v>
      </c>
      <c r="C1748" s="35" t="s">
        <v>319</v>
      </c>
      <c r="D1748" s="36" t="s">
        <v>2082</v>
      </c>
      <c r="E1748" s="37" t="s">
        <v>779</v>
      </c>
      <c r="F1748" s="35" t="s">
        <v>322</v>
      </c>
      <c r="G1748" s="7"/>
      <c r="H1748" s="7"/>
      <c r="I1748" s="12"/>
    </row>
    <row r="1749" spans="1:9" ht="25.5" x14ac:dyDescent="0.2">
      <c r="A1749" s="35" t="str">
        <f>HYPERLINK("https://mississippidhs.jamacloud.com/perspective.req?projectId=53&amp;docId=29672","LSRP-SHRQ-1729")</f>
        <v>LSRP-SHRQ-1729</v>
      </c>
      <c r="B1749" s="8" t="s">
        <v>2109</v>
      </c>
      <c r="C1749" s="35" t="s">
        <v>319</v>
      </c>
      <c r="D1749" s="36" t="s">
        <v>2082</v>
      </c>
      <c r="E1749" s="37" t="s">
        <v>779</v>
      </c>
      <c r="F1749" s="35" t="s">
        <v>322</v>
      </c>
      <c r="G1749" s="7"/>
      <c r="H1749" s="7"/>
      <c r="I1749" s="12"/>
    </row>
    <row r="1750" spans="1:9" ht="25.5" x14ac:dyDescent="0.2">
      <c r="A1750" s="35" t="str">
        <f>HYPERLINK("https://mississippidhs.jamacloud.com/perspective.req?projectId=53&amp;docId=29673","LSRP-SHRQ-1730")</f>
        <v>LSRP-SHRQ-1730</v>
      </c>
      <c r="B1750" s="8" t="s">
        <v>2110</v>
      </c>
      <c r="C1750" s="35" t="s">
        <v>319</v>
      </c>
      <c r="D1750" s="36" t="s">
        <v>2082</v>
      </c>
      <c r="E1750" s="37" t="s">
        <v>779</v>
      </c>
      <c r="F1750" s="35" t="s">
        <v>322</v>
      </c>
      <c r="G1750" s="7"/>
      <c r="H1750" s="7"/>
      <c r="I1750" s="12"/>
    </row>
    <row r="1751" spans="1:9" ht="51" x14ac:dyDescent="0.2">
      <c r="A1751" s="35" t="str">
        <f>HYPERLINK("https://mississippidhs.jamacloud.com/perspective.req?projectId=53&amp;docId=29674","LSRP-SHRQ-1731")</f>
        <v>LSRP-SHRQ-1731</v>
      </c>
      <c r="B1751" s="8" t="s">
        <v>2111</v>
      </c>
      <c r="C1751" s="35" t="s">
        <v>319</v>
      </c>
      <c r="D1751" s="36" t="s">
        <v>2082</v>
      </c>
      <c r="E1751" s="37" t="s">
        <v>779</v>
      </c>
      <c r="F1751" s="35" t="s">
        <v>322</v>
      </c>
      <c r="G1751" s="7"/>
      <c r="H1751" s="7"/>
      <c r="I1751" s="12"/>
    </row>
    <row r="1752" spans="1:9" ht="63.75" x14ac:dyDescent="0.2">
      <c r="A1752" s="35" t="str">
        <f>HYPERLINK("https://mississippidhs.jamacloud.com/perspective.req?projectId=53&amp;docId=29675","LSRP-SHRQ-1732")</f>
        <v>LSRP-SHRQ-1732</v>
      </c>
      <c r="B1752" s="8" t="s">
        <v>2112</v>
      </c>
      <c r="C1752" s="35" t="s">
        <v>319</v>
      </c>
      <c r="D1752" s="36" t="s">
        <v>2082</v>
      </c>
      <c r="E1752" s="37" t="s">
        <v>779</v>
      </c>
      <c r="F1752" s="35" t="s">
        <v>322</v>
      </c>
      <c r="G1752" s="7"/>
      <c r="H1752" s="7"/>
      <c r="I1752" s="12"/>
    </row>
    <row r="1753" spans="1:9" ht="25.5" x14ac:dyDescent="0.2">
      <c r="A1753" s="35" t="str">
        <f>HYPERLINK("https://mississippidhs.jamacloud.com/perspective.req?projectId=53&amp;docId=29676","LSRP-SHRQ-1733")</f>
        <v>LSRP-SHRQ-1733</v>
      </c>
      <c r="B1753" s="8" t="s">
        <v>2113</v>
      </c>
      <c r="C1753" s="35" t="s">
        <v>319</v>
      </c>
      <c r="D1753" s="36" t="s">
        <v>2082</v>
      </c>
      <c r="E1753" s="37" t="s">
        <v>779</v>
      </c>
      <c r="F1753" s="35" t="s">
        <v>322</v>
      </c>
      <c r="G1753" s="7"/>
      <c r="H1753" s="7"/>
      <c r="I1753" s="12"/>
    </row>
    <row r="1754" spans="1:9" ht="25.5" x14ac:dyDescent="0.2">
      <c r="A1754" s="35" t="str">
        <f>HYPERLINK("https://mississippidhs.jamacloud.com/perspective.req?projectId=53&amp;docId=29677","LSRP-SHRQ-1734")</f>
        <v>LSRP-SHRQ-1734</v>
      </c>
      <c r="B1754" s="8" t="s">
        <v>2114</v>
      </c>
      <c r="C1754" s="35" t="s">
        <v>319</v>
      </c>
      <c r="D1754" s="36" t="s">
        <v>2082</v>
      </c>
      <c r="E1754" s="37" t="s">
        <v>779</v>
      </c>
      <c r="F1754" s="35" t="s">
        <v>322</v>
      </c>
      <c r="G1754" s="7"/>
      <c r="H1754" s="7"/>
      <c r="I1754" s="12"/>
    </row>
    <row r="1755" spans="1:9" ht="25.5" x14ac:dyDescent="0.2">
      <c r="A1755" s="35" t="str">
        <f>HYPERLINK("https://mississippidhs.jamacloud.com/perspective.req?projectId=53&amp;docId=29678","LSRP-SHRQ-1735")</f>
        <v>LSRP-SHRQ-1735</v>
      </c>
      <c r="B1755" s="8" t="s">
        <v>2115</v>
      </c>
      <c r="C1755" s="35" t="s">
        <v>319</v>
      </c>
      <c r="D1755" s="36" t="s">
        <v>2082</v>
      </c>
      <c r="E1755" s="37" t="s">
        <v>779</v>
      </c>
      <c r="F1755" s="35" t="s">
        <v>322</v>
      </c>
      <c r="G1755" s="7"/>
      <c r="H1755" s="7"/>
      <c r="I1755" s="12"/>
    </row>
    <row r="1756" spans="1:9" ht="38.25" x14ac:dyDescent="0.2">
      <c r="A1756" s="35" t="str">
        <f>HYPERLINK("https://mississippidhs.jamacloud.com/perspective.req?projectId=53&amp;docId=29679","LSRP-SHRQ-1736")</f>
        <v>LSRP-SHRQ-1736</v>
      </c>
      <c r="B1756" s="8" t="s">
        <v>2116</v>
      </c>
      <c r="C1756" s="35" t="s">
        <v>319</v>
      </c>
      <c r="D1756" s="36" t="s">
        <v>2082</v>
      </c>
      <c r="E1756" s="37" t="s">
        <v>779</v>
      </c>
      <c r="F1756" s="35" t="s">
        <v>322</v>
      </c>
      <c r="G1756" s="7"/>
      <c r="H1756" s="7"/>
      <c r="I1756" s="12"/>
    </row>
    <row r="1757" spans="1:9" ht="25.5" x14ac:dyDescent="0.2">
      <c r="A1757" s="35" t="str">
        <f>HYPERLINK("https://mississippidhs.jamacloud.com/perspective.req?projectId=53&amp;docId=29680","LSRP-SHRQ-1737")</f>
        <v>LSRP-SHRQ-1737</v>
      </c>
      <c r="B1757" s="8" t="s">
        <v>2117</v>
      </c>
      <c r="C1757" s="35" t="s">
        <v>319</v>
      </c>
      <c r="D1757" s="36" t="s">
        <v>2082</v>
      </c>
      <c r="E1757" s="37" t="s">
        <v>779</v>
      </c>
      <c r="F1757" s="35" t="s">
        <v>322</v>
      </c>
      <c r="G1757" s="7"/>
      <c r="H1757" s="7"/>
      <c r="I1757" s="12"/>
    </row>
    <row r="1758" spans="1:9" ht="51" x14ac:dyDescent="0.2">
      <c r="A1758" s="35" t="str">
        <f>HYPERLINK("https://mississippidhs.jamacloud.com/perspective.req?projectId=53&amp;docId=29681","LSRP-SHRQ-1738")</f>
        <v>LSRP-SHRQ-1738</v>
      </c>
      <c r="B1758" s="8" t="s">
        <v>2118</v>
      </c>
      <c r="C1758" s="35" t="s">
        <v>319</v>
      </c>
      <c r="D1758" s="36" t="s">
        <v>2082</v>
      </c>
      <c r="E1758" s="37" t="s">
        <v>779</v>
      </c>
      <c r="F1758" s="35" t="s">
        <v>322</v>
      </c>
      <c r="G1758" s="7"/>
      <c r="H1758" s="7"/>
      <c r="I1758" s="12"/>
    </row>
    <row r="1759" spans="1:9" ht="38.25" x14ac:dyDescent="0.2">
      <c r="A1759" s="35" t="str">
        <f>HYPERLINK("https://mississippidhs.jamacloud.com/perspective.req?projectId=53&amp;docId=29682","LSRP-SHRQ-1739")</f>
        <v>LSRP-SHRQ-1739</v>
      </c>
      <c r="B1759" s="8" t="s">
        <v>2119</v>
      </c>
      <c r="C1759" s="35" t="s">
        <v>319</v>
      </c>
      <c r="D1759" s="36" t="s">
        <v>2082</v>
      </c>
      <c r="E1759" s="37" t="s">
        <v>779</v>
      </c>
      <c r="F1759" s="35" t="s">
        <v>322</v>
      </c>
      <c r="G1759" s="7"/>
      <c r="H1759" s="7"/>
      <c r="I1759" s="12"/>
    </row>
    <row r="1760" spans="1:9" ht="38.25" x14ac:dyDescent="0.2">
      <c r="A1760" s="35" t="str">
        <f>HYPERLINK("https://mississippidhs.jamacloud.com/perspective.req?projectId=53&amp;docId=29683","LSRP-SHRQ-1740")</f>
        <v>LSRP-SHRQ-1740</v>
      </c>
      <c r="B1760" s="8" t="s">
        <v>2120</v>
      </c>
      <c r="C1760" s="35" t="s">
        <v>319</v>
      </c>
      <c r="D1760" s="36" t="s">
        <v>2082</v>
      </c>
      <c r="E1760" s="37" t="s">
        <v>779</v>
      </c>
      <c r="F1760" s="35" t="s">
        <v>322</v>
      </c>
      <c r="G1760" s="7"/>
      <c r="H1760" s="7"/>
      <c r="I1760" s="12"/>
    </row>
    <row r="1761" spans="1:9" ht="38.25" x14ac:dyDescent="0.2">
      <c r="A1761" s="35" t="str">
        <f>HYPERLINK("https://mississippidhs.jamacloud.com/perspective.req?projectId=53&amp;docId=29684","LSRP-SHRQ-1741")</f>
        <v>LSRP-SHRQ-1741</v>
      </c>
      <c r="B1761" s="8" t="s">
        <v>2121</v>
      </c>
      <c r="C1761" s="35" t="s">
        <v>319</v>
      </c>
      <c r="D1761" s="36" t="s">
        <v>2082</v>
      </c>
      <c r="E1761" s="37" t="s">
        <v>779</v>
      </c>
      <c r="F1761" s="35" t="s">
        <v>322</v>
      </c>
      <c r="G1761" s="7"/>
      <c r="H1761" s="7"/>
      <c r="I1761" s="12"/>
    </row>
    <row r="1762" spans="1:9" ht="25.5" x14ac:dyDescent="0.2">
      <c r="A1762" s="35" t="str">
        <f>HYPERLINK("https://mississippidhs.jamacloud.com/perspective.req?projectId=53&amp;docId=29685","LSRP-SHRQ-1742")</f>
        <v>LSRP-SHRQ-1742</v>
      </c>
      <c r="B1762" s="8" t="s">
        <v>2122</v>
      </c>
      <c r="C1762" s="35" t="s">
        <v>319</v>
      </c>
      <c r="D1762" s="36" t="s">
        <v>2082</v>
      </c>
      <c r="E1762" s="37" t="s">
        <v>779</v>
      </c>
      <c r="F1762" s="35" t="s">
        <v>322</v>
      </c>
      <c r="G1762" s="7"/>
      <c r="H1762" s="7"/>
      <c r="I1762" s="12"/>
    </row>
    <row r="1763" spans="1:9" ht="25.5" x14ac:dyDescent="0.2">
      <c r="A1763" s="35" t="str">
        <f>HYPERLINK("https://mississippidhs.jamacloud.com/perspective.req?projectId=53&amp;docId=29686","LSRP-SHRQ-1743")</f>
        <v>LSRP-SHRQ-1743</v>
      </c>
      <c r="B1763" s="8" t="s">
        <v>2123</v>
      </c>
      <c r="C1763" s="35" t="s">
        <v>319</v>
      </c>
      <c r="D1763" s="36" t="s">
        <v>2082</v>
      </c>
      <c r="E1763" s="37" t="s">
        <v>779</v>
      </c>
      <c r="F1763" s="35" t="s">
        <v>322</v>
      </c>
      <c r="G1763" s="7"/>
      <c r="H1763" s="7"/>
      <c r="I1763" s="12"/>
    </row>
    <row r="1764" spans="1:9" ht="25.5" x14ac:dyDescent="0.2">
      <c r="A1764" s="35" t="str">
        <f>HYPERLINK("https://mississippidhs.jamacloud.com/perspective.req?projectId=53&amp;docId=29687","LSRP-SHRQ-1744")</f>
        <v>LSRP-SHRQ-1744</v>
      </c>
      <c r="B1764" s="8" t="s">
        <v>2124</v>
      </c>
      <c r="C1764" s="35" t="s">
        <v>319</v>
      </c>
      <c r="D1764" s="36" t="s">
        <v>2082</v>
      </c>
      <c r="E1764" s="37" t="s">
        <v>779</v>
      </c>
      <c r="F1764" s="35" t="s">
        <v>322</v>
      </c>
      <c r="G1764" s="7"/>
      <c r="H1764" s="7"/>
      <c r="I1764" s="12"/>
    </row>
    <row r="1765" spans="1:9" ht="25.5" x14ac:dyDescent="0.2">
      <c r="A1765" s="35" t="str">
        <f>HYPERLINK("https://mississippidhs.jamacloud.com/perspective.req?projectId=53&amp;docId=29688","LSRP-SHRQ-1745")</f>
        <v>LSRP-SHRQ-1745</v>
      </c>
      <c r="B1765" s="8" t="s">
        <v>2125</v>
      </c>
      <c r="C1765" s="35" t="s">
        <v>319</v>
      </c>
      <c r="D1765" s="36" t="s">
        <v>2082</v>
      </c>
      <c r="E1765" s="37" t="s">
        <v>779</v>
      </c>
      <c r="F1765" s="35" t="s">
        <v>322</v>
      </c>
      <c r="G1765" s="7"/>
      <c r="H1765" s="7"/>
      <c r="I1765" s="12"/>
    </row>
    <row r="1766" spans="1:9" ht="25.5" x14ac:dyDescent="0.2">
      <c r="A1766" s="35" t="str">
        <f>HYPERLINK("https://mississippidhs.jamacloud.com/perspective.req?projectId=53&amp;docId=29689","LSRP-SHRQ-1746")</f>
        <v>LSRP-SHRQ-1746</v>
      </c>
      <c r="B1766" s="8" t="s">
        <v>2126</v>
      </c>
      <c r="C1766" s="35" t="s">
        <v>319</v>
      </c>
      <c r="D1766" s="36" t="s">
        <v>2082</v>
      </c>
      <c r="E1766" s="37" t="s">
        <v>779</v>
      </c>
      <c r="F1766" s="35" t="s">
        <v>322</v>
      </c>
      <c r="G1766" s="7"/>
      <c r="H1766" s="7"/>
      <c r="I1766" s="12"/>
    </row>
    <row r="1767" spans="1:9" ht="25.5" x14ac:dyDescent="0.2">
      <c r="A1767" s="35" t="str">
        <f>HYPERLINK("https://mississippidhs.jamacloud.com/perspective.req?projectId=53&amp;docId=29690","LSRP-SHRQ-1747")</f>
        <v>LSRP-SHRQ-1747</v>
      </c>
      <c r="B1767" s="8" t="s">
        <v>2127</v>
      </c>
      <c r="C1767" s="35" t="s">
        <v>319</v>
      </c>
      <c r="D1767" s="36" t="s">
        <v>2082</v>
      </c>
      <c r="E1767" s="37" t="s">
        <v>779</v>
      </c>
      <c r="F1767" s="35" t="s">
        <v>322</v>
      </c>
      <c r="G1767" s="7"/>
      <c r="H1767" s="7"/>
      <c r="I1767" s="12"/>
    </row>
    <row r="1768" spans="1:9" ht="51" x14ac:dyDescent="0.2">
      <c r="A1768" s="35" t="str">
        <f>HYPERLINK("https://mississippidhs.jamacloud.com/perspective.req?projectId=53&amp;docId=29691","LSRP-SHRQ-1748")</f>
        <v>LSRP-SHRQ-1748</v>
      </c>
      <c r="B1768" s="8" t="s">
        <v>2128</v>
      </c>
      <c r="C1768" s="35" t="s">
        <v>319</v>
      </c>
      <c r="D1768" s="36" t="s">
        <v>2082</v>
      </c>
      <c r="E1768" s="37" t="s">
        <v>779</v>
      </c>
      <c r="F1768" s="35" t="s">
        <v>322</v>
      </c>
      <c r="G1768" s="7"/>
      <c r="H1768" s="7"/>
      <c r="I1768" s="12"/>
    </row>
    <row r="1769" spans="1:9" ht="25.5" x14ac:dyDescent="0.2">
      <c r="A1769" s="35" t="str">
        <f>HYPERLINK("https://mississippidhs.jamacloud.com/perspective.req?projectId=53&amp;docId=29692","LSRP-SHRQ-1749")</f>
        <v>LSRP-SHRQ-1749</v>
      </c>
      <c r="B1769" s="8" t="s">
        <v>2129</v>
      </c>
      <c r="C1769" s="35" t="s">
        <v>319</v>
      </c>
      <c r="D1769" s="36" t="s">
        <v>2082</v>
      </c>
      <c r="E1769" s="37" t="s">
        <v>779</v>
      </c>
      <c r="F1769" s="35" t="s">
        <v>322</v>
      </c>
      <c r="G1769" s="7"/>
      <c r="H1769" s="7"/>
      <c r="I1769" s="12"/>
    </row>
    <row r="1770" spans="1:9" ht="38.25" x14ac:dyDescent="0.2">
      <c r="A1770" s="35" t="str">
        <f>HYPERLINK("https://mississippidhs.jamacloud.com/perspective.req?projectId=53&amp;docId=29693","LSRP-SHRQ-1750")</f>
        <v>LSRP-SHRQ-1750</v>
      </c>
      <c r="B1770" s="8" t="s">
        <v>2130</v>
      </c>
      <c r="C1770" s="35" t="s">
        <v>319</v>
      </c>
      <c r="D1770" s="36" t="s">
        <v>2082</v>
      </c>
      <c r="E1770" s="37" t="s">
        <v>779</v>
      </c>
      <c r="F1770" s="35" t="s">
        <v>322</v>
      </c>
      <c r="G1770" s="7"/>
      <c r="H1770" s="7"/>
      <c r="I1770" s="12"/>
    </row>
    <row r="1771" spans="1:9" ht="38.25" x14ac:dyDescent="0.2">
      <c r="A1771" s="35" t="str">
        <f>HYPERLINK("https://mississippidhs.jamacloud.com/perspective.req?projectId=53&amp;docId=29694","LSRP-SHRQ-1751")</f>
        <v>LSRP-SHRQ-1751</v>
      </c>
      <c r="B1771" s="8" t="s">
        <v>2131</v>
      </c>
      <c r="C1771" s="35" t="s">
        <v>319</v>
      </c>
      <c r="D1771" s="36" t="s">
        <v>2082</v>
      </c>
      <c r="E1771" s="37" t="s">
        <v>779</v>
      </c>
      <c r="F1771" s="35" t="s">
        <v>322</v>
      </c>
      <c r="G1771" s="7"/>
      <c r="H1771" s="7"/>
      <c r="I1771" s="12"/>
    </row>
    <row r="1772" spans="1:9" ht="25.5" x14ac:dyDescent="0.2">
      <c r="A1772" s="35" t="str">
        <f>HYPERLINK("https://mississippidhs.jamacloud.com/perspective.req?projectId=53&amp;docId=29695","LSRP-SHRQ-1752")</f>
        <v>LSRP-SHRQ-1752</v>
      </c>
      <c r="B1772" s="8" t="s">
        <v>2132</v>
      </c>
      <c r="C1772" s="35" t="s">
        <v>319</v>
      </c>
      <c r="D1772" s="36" t="s">
        <v>2082</v>
      </c>
      <c r="E1772" s="37" t="s">
        <v>779</v>
      </c>
      <c r="F1772" s="35" t="s">
        <v>322</v>
      </c>
      <c r="G1772" s="7"/>
      <c r="H1772" s="7"/>
      <c r="I1772" s="12"/>
    </row>
    <row r="1773" spans="1:9" ht="25.5" x14ac:dyDescent="0.2">
      <c r="A1773" s="35" t="str">
        <f>HYPERLINK("https://mississippidhs.jamacloud.com/perspective.req?projectId=53&amp;docId=29696","LSRP-SHRQ-1753")</f>
        <v>LSRP-SHRQ-1753</v>
      </c>
      <c r="B1773" s="8" t="s">
        <v>2133</v>
      </c>
      <c r="C1773" s="35" t="s">
        <v>319</v>
      </c>
      <c r="D1773" s="36" t="s">
        <v>2082</v>
      </c>
      <c r="E1773" s="37" t="s">
        <v>779</v>
      </c>
      <c r="F1773" s="35" t="s">
        <v>322</v>
      </c>
      <c r="G1773" s="7"/>
      <c r="H1773" s="7"/>
      <c r="I1773" s="12"/>
    </row>
    <row r="1774" spans="1:9" ht="14.25" x14ac:dyDescent="0.2">
      <c r="A1774" s="35" t="str">
        <f>HYPERLINK("https://mississippidhs.jamacloud.com/perspective.req?projectId=53&amp;docId=29697","LSRP-SHRQ-1754")</f>
        <v>LSRP-SHRQ-1754</v>
      </c>
      <c r="B1774" s="8" t="s">
        <v>2134</v>
      </c>
      <c r="C1774" s="35" t="s">
        <v>319</v>
      </c>
      <c r="D1774" s="36" t="s">
        <v>2082</v>
      </c>
      <c r="E1774" s="37" t="s">
        <v>779</v>
      </c>
      <c r="F1774" s="35" t="s">
        <v>322</v>
      </c>
      <c r="G1774" s="7"/>
      <c r="H1774" s="7"/>
      <c r="I1774" s="12"/>
    </row>
    <row r="1775" spans="1:9" ht="38.25" x14ac:dyDescent="0.2">
      <c r="A1775" s="35" t="str">
        <f>HYPERLINK("https://mississippidhs.jamacloud.com/perspective.req?projectId=53&amp;docId=29698","LSRP-SHRQ-1755")</f>
        <v>LSRP-SHRQ-1755</v>
      </c>
      <c r="B1775" s="8" t="s">
        <v>2135</v>
      </c>
      <c r="C1775" s="35" t="s">
        <v>319</v>
      </c>
      <c r="D1775" s="36" t="s">
        <v>2082</v>
      </c>
      <c r="E1775" s="37" t="s">
        <v>779</v>
      </c>
      <c r="F1775" s="35" t="s">
        <v>322</v>
      </c>
      <c r="G1775" s="7"/>
      <c r="H1775" s="7"/>
      <c r="I1775" s="12"/>
    </row>
    <row r="1776" spans="1:9" ht="25.5" x14ac:dyDescent="0.2">
      <c r="A1776" s="35" t="str">
        <f>HYPERLINK("https://mississippidhs.jamacloud.com/perspective.req?projectId=53&amp;docId=29699","LSRP-SHRQ-1756")</f>
        <v>LSRP-SHRQ-1756</v>
      </c>
      <c r="B1776" s="8" t="s">
        <v>2136</v>
      </c>
      <c r="C1776" s="35" t="s">
        <v>319</v>
      </c>
      <c r="D1776" s="36" t="s">
        <v>2082</v>
      </c>
      <c r="E1776" s="37" t="s">
        <v>779</v>
      </c>
      <c r="F1776" s="35" t="s">
        <v>322</v>
      </c>
      <c r="G1776" s="7"/>
      <c r="H1776" s="7"/>
      <c r="I1776" s="12"/>
    </row>
    <row r="1777" spans="1:9" ht="25.5" x14ac:dyDescent="0.2">
      <c r="A1777" s="35" t="str">
        <f>HYPERLINK("https://mississippidhs.jamacloud.com/perspective.req?projectId=53&amp;docId=29700","LSRP-SHRQ-1757")</f>
        <v>LSRP-SHRQ-1757</v>
      </c>
      <c r="B1777" s="8" t="s">
        <v>2137</v>
      </c>
      <c r="C1777" s="35" t="s">
        <v>319</v>
      </c>
      <c r="D1777" s="36" t="s">
        <v>2082</v>
      </c>
      <c r="E1777" s="37" t="s">
        <v>779</v>
      </c>
      <c r="F1777" s="35" t="s">
        <v>322</v>
      </c>
      <c r="G1777" s="7"/>
      <c r="H1777" s="7"/>
      <c r="I1777" s="12"/>
    </row>
    <row r="1778" spans="1:9" ht="25.5" x14ac:dyDescent="0.2">
      <c r="A1778" s="35" t="str">
        <f>HYPERLINK("https://mississippidhs.jamacloud.com/perspective.req?projectId=53&amp;docId=29701","LSRP-SHRQ-1758")</f>
        <v>LSRP-SHRQ-1758</v>
      </c>
      <c r="B1778" s="8" t="s">
        <v>2138</v>
      </c>
      <c r="C1778" s="35" t="s">
        <v>319</v>
      </c>
      <c r="D1778" s="36" t="s">
        <v>2082</v>
      </c>
      <c r="E1778" s="37" t="s">
        <v>779</v>
      </c>
      <c r="F1778" s="35" t="s">
        <v>322</v>
      </c>
      <c r="G1778" s="7"/>
      <c r="H1778" s="7"/>
      <c r="I1778" s="12"/>
    </row>
    <row r="1779" spans="1:9" ht="25.5" x14ac:dyDescent="0.2">
      <c r="A1779" s="35" t="str">
        <f>HYPERLINK("https://mississippidhs.jamacloud.com/perspective.req?projectId=53&amp;docId=29702","LSRP-SHRQ-1759")</f>
        <v>LSRP-SHRQ-1759</v>
      </c>
      <c r="B1779" s="8" t="s">
        <v>2139</v>
      </c>
      <c r="C1779" s="35" t="s">
        <v>319</v>
      </c>
      <c r="D1779" s="36" t="s">
        <v>2082</v>
      </c>
      <c r="E1779" s="37" t="s">
        <v>779</v>
      </c>
      <c r="F1779" s="35" t="s">
        <v>322</v>
      </c>
      <c r="G1779" s="7"/>
      <c r="H1779" s="7"/>
      <c r="I1779" s="12"/>
    </row>
    <row r="1780" spans="1:9" ht="63.75" x14ac:dyDescent="0.2">
      <c r="A1780" s="35" t="str">
        <f>HYPERLINK("https://mississippidhs.jamacloud.com/perspective.req?projectId=53&amp;docId=29703","LSRP-SHRQ-1760")</f>
        <v>LSRP-SHRQ-1760</v>
      </c>
      <c r="B1780" s="8" t="s">
        <v>2140</v>
      </c>
      <c r="C1780" s="35" t="s">
        <v>319</v>
      </c>
      <c r="D1780" s="36" t="s">
        <v>2082</v>
      </c>
      <c r="E1780" s="37" t="s">
        <v>779</v>
      </c>
      <c r="F1780" s="35" t="s">
        <v>322</v>
      </c>
      <c r="G1780" s="7"/>
      <c r="H1780" s="7"/>
      <c r="I1780" s="12"/>
    </row>
    <row r="1781" spans="1:9" ht="51" x14ac:dyDescent="0.2">
      <c r="A1781" s="35" t="str">
        <f>HYPERLINK("https://mississippidhs.jamacloud.com/perspective.req?projectId=53&amp;docId=29704","LSRP-SHRQ-1761")</f>
        <v>LSRP-SHRQ-1761</v>
      </c>
      <c r="B1781" s="8" t="s">
        <v>2141</v>
      </c>
      <c r="C1781" s="35" t="s">
        <v>319</v>
      </c>
      <c r="D1781" s="36" t="s">
        <v>2082</v>
      </c>
      <c r="E1781" s="37" t="s">
        <v>779</v>
      </c>
      <c r="F1781" s="35" t="s">
        <v>322</v>
      </c>
      <c r="G1781" s="7"/>
      <c r="H1781" s="7"/>
      <c r="I1781" s="12"/>
    </row>
    <row r="1782" spans="1:9" ht="25.5" x14ac:dyDescent="0.2">
      <c r="A1782" s="35" t="str">
        <f>HYPERLINK("https://mississippidhs.jamacloud.com/perspective.req?projectId=53&amp;docId=29705","LSRP-SHRQ-1762")</f>
        <v>LSRP-SHRQ-1762</v>
      </c>
      <c r="B1782" s="8" t="s">
        <v>2142</v>
      </c>
      <c r="C1782" s="35" t="s">
        <v>319</v>
      </c>
      <c r="D1782" s="36" t="s">
        <v>2082</v>
      </c>
      <c r="E1782" s="37" t="s">
        <v>779</v>
      </c>
      <c r="F1782" s="35" t="s">
        <v>322</v>
      </c>
      <c r="G1782" s="7"/>
      <c r="H1782" s="7"/>
      <c r="I1782" s="12"/>
    </row>
    <row r="1783" spans="1:9" ht="25.5" x14ac:dyDescent="0.2">
      <c r="A1783" s="35" t="str">
        <f>HYPERLINK("https://mississippidhs.jamacloud.com/perspective.req?projectId=53&amp;docId=29706","LSRP-SHRQ-1763")</f>
        <v>LSRP-SHRQ-1763</v>
      </c>
      <c r="B1783" s="8" t="s">
        <v>2143</v>
      </c>
      <c r="C1783" s="35" t="s">
        <v>319</v>
      </c>
      <c r="D1783" s="36" t="s">
        <v>2082</v>
      </c>
      <c r="E1783" s="37" t="s">
        <v>779</v>
      </c>
      <c r="F1783" s="35" t="s">
        <v>322</v>
      </c>
      <c r="G1783" s="7"/>
      <c r="H1783" s="7"/>
      <c r="I1783" s="12"/>
    </row>
    <row r="1784" spans="1:9" ht="14.25" x14ac:dyDescent="0.2">
      <c r="A1784" s="35" t="str">
        <f>HYPERLINK("https://mississippidhs.jamacloud.com/perspective.req?projectId=53&amp;docId=29707","LSRP-SHRQ-1764")</f>
        <v>LSRP-SHRQ-1764</v>
      </c>
      <c r="B1784" s="8" t="s">
        <v>2144</v>
      </c>
      <c r="C1784" s="35" t="s">
        <v>319</v>
      </c>
      <c r="D1784" s="36" t="s">
        <v>2082</v>
      </c>
      <c r="E1784" s="37" t="s">
        <v>779</v>
      </c>
      <c r="F1784" s="35" t="s">
        <v>322</v>
      </c>
      <c r="G1784" s="7"/>
      <c r="H1784" s="7"/>
      <c r="I1784" s="12"/>
    </row>
    <row r="1785" spans="1:9" ht="38.25" x14ac:dyDescent="0.2">
      <c r="A1785" s="35" t="str">
        <f>HYPERLINK("https://mississippidhs.jamacloud.com/perspective.req?projectId=53&amp;docId=29708","LSRP-SHRQ-1765")</f>
        <v>LSRP-SHRQ-1765</v>
      </c>
      <c r="B1785" s="8" t="s">
        <v>2145</v>
      </c>
      <c r="C1785" s="35" t="s">
        <v>319</v>
      </c>
      <c r="D1785" s="36" t="s">
        <v>2082</v>
      </c>
      <c r="E1785" s="37" t="s">
        <v>779</v>
      </c>
      <c r="F1785" s="35" t="s">
        <v>322</v>
      </c>
      <c r="G1785" s="7"/>
      <c r="H1785" s="7"/>
      <c r="I1785" s="12"/>
    </row>
    <row r="1786" spans="1:9" ht="25.5" x14ac:dyDescent="0.2">
      <c r="A1786" s="35" t="str">
        <f>HYPERLINK("https://mississippidhs.jamacloud.com/perspective.req?projectId=53&amp;docId=29709","LSRP-SHRQ-1766")</f>
        <v>LSRP-SHRQ-1766</v>
      </c>
      <c r="B1786" s="8" t="s">
        <v>2146</v>
      </c>
      <c r="C1786" s="35" t="s">
        <v>319</v>
      </c>
      <c r="D1786" s="36" t="s">
        <v>2082</v>
      </c>
      <c r="E1786" s="37" t="s">
        <v>779</v>
      </c>
      <c r="F1786" s="35" t="s">
        <v>322</v>
      </c>
      <c r="G1786" s="7"/>
      <c r="H1786" s="7"/>
      <c r="I1786" s="12"/>
    </row>
    <row r="1787" spans="1:9" ht="51" x14ac:dyDescent="0.2">
      <c r="A1787" s="35" t="str">
        <f>HYPERLINK("https://mississippidhs.jamacloud.com/perspective.req?projectId=53&amp;docId=29710","LSRP-SHRQ-1767")</f>
        <v>LSRP-SHRQ-1767</v>
      </c>
      <c r="B1787" s="8" t="s">
        <v>2147</v>
      </c>
      <c r="C1787" s="35" t="s">
        <v>319</v>
      </c>
      <c r="D1787" s="36" t="s">
        <v>2082</v>
      </c>
      <c r="E1787" s="37" t="s">
        <v>779</v>
      </c>
      <c r="F1787" s="35" t="s">
        <v>322</v>
      </c>
      <c r="G1787" s="7"/>
      <c r="H1787" s="7"/>
      <c r="I1787" s="12"/>
    </row>
    <row r="1788" spans="1:9" ht="38.25" x14ac:dyDescent="0.2">
      <c r="A1788" s="35" t="str">
        <f>HYPERLINK("https://mississippidhs.jamacloud.com/perspective.req?projectId=53&amp;docId=29711","LSRP-SHRQ-1768")</f>
        <v>LSRP-SHRQ-1768</v>
      </c>
      <c r="B1788" s="8" t="s">
        <v>2148</v>
      </c>
      <c r="C1788" s="35" t="s">
        <v>319</v>
      </c>
      <c r="D1788" s="36" t="s">
        <v>2082</v>
      </c>
      <c r="E1788" s="37" t="s">
        <v>779</v>
      </c>
      <c r="F1788" s="35" t="s">
        <v>322</v>
      </c>
      <c r="G1788" s="7"/>
      <c r="H1788" s="7"/>
      <c r="I1788" s="12"/>
    </row>
    <row r="1789" spans="1:9" ht="38.25" x14ac:dyDescent="0.2">
      <c r="A1789" s="35" t="str">
        <f>HYPERLINK("https://mississippidhs.jamacloud.com/perspective.req?projectId=53&amp;docId=29712","LSRP-SHRQ-1769")</f>
        <v>LSRP-SHRQ-1769</v>
      </c>
      <c r="B1789" s="8" t="s">
        <v>2149</v>
      </c>
      <c r="C1789" s="35" t="s">
        <v>319</v>
      </c>
      <c r="D1789" s="36" t="s">
        <v>2082</v>
      </c>
      <c r="E1789" s="37" t="s">
        <v>779</v>
      </c>
      <c r="F1789" s="35" t="s">
        <v>322</v>
      </c>
      <c r="G1789" s="7"/>
      <c r="H1789" s="7"/>
      <c r="I1789" s="12"/>
    </row>
    <row r="1790" spans="1:9" ht="38.25" x14ac:dyDescent="0.2">
      <c r="A1790" s="35" t="str">
        <f>HYPERLINK("https://mississippidhs.jamacloud.com/perspective.req?projectId=53&amp;docId=29713","LSRP-SHRQ-1770")</f>
        <v>LSRP-SHRQ-1770</v>
      </c>
      <c r="B1790" s="8" t="s">
        <v>2150</v>
      </c>
      <c r="C1790" s="35" t="s">
        <v>319</v>
      </c>
      <c r="D1790" s="36" t="s">
        <v>2082</v>
      </c>
      <c r="E1790" s="37" t="s">
        <v>779</v>
      </c>
      <c r="F1790" s="35" t="s">
        <v>322</v>
      </c>
      <c r="G1790" s="7"/>
      <c r="H1790" s="7"/>
      <c r="I1790" s="12"/>
    </row>
    <row r="1791" spans="1:9" ht="38.25" x14ac:dyDescent="0.2">
      <c r="A1791" s="35" t="str">
        <f>HYPERLINK("https://mississippidhs.jamacloud.com/perspective.req?projectId=53&amp;docId=29714","LSRP-SHRQ-1771")</f>
        <v>LSRP-SHRQ-1771</v>
      </c>
      <c r="B1791" s="8" t="s">
        <v>2151</v>
      </c>
      <c r="C1791" s="35" t="s">
        <v>319</v>
      </c>
      <c r="D1791" s="36" t="s">
        <v>2082</v>
      </c>
      <c r="E1791" s="37" t="s">
        <v>779</v>
      </c>
      <c r="F1791" s="35" t="s">
        <v>322</v>
      </c>
      <c r="G1791" s="7"/>
      <c r="H1791" s="7"/>
      <c r="I1791" s="12"/>
    </row>
    <row r="1792" spans="1:9" ht="25.5" x14ac:dyDescent="0.2">
      <c r="A1792" s="35" t="str">
        <f>HYPERLINK("https://mississippidhs.jamacloud.com/perspective.req?projectId=53&amp;docId=29715","LSRP-SHRQ-1772")</f>
        <v>LSRP-SHRQ-1772</v>
      </c>
      <c r="B1792" s="8" t="s">
        <v>2152</v>
      </c>
      <c r="C1792" s="35" t="s">
        <v>319</v>
      </c>
      <c r="D1792" s="36" t="s">
        <v>2082</v>
      </c>
      <c r="E1792" s="37" t="s">
        <v>779</v>
      </c>
      <c r="F1792" s="35" t="s">
        <v>322</v>
      </c>
      <c r="G1792" s="7"/>
      <c r="H1792" s="7"/>
      <c r="I1792" s="12"/>
    </row>
    <row r="1793" spans="1:9" ht="25.5" x14ac:dyDescent="0.2">
      <c r="A1793" s="35" t="str">
        <f>HYPERLINK("https://mississippidhs.jamacloud.com/perspective.req?projectId=53&amp;docId=29716","LSRP-SHRQ-1773")</f>
        <v>LSRP-SHRQ-1773</v>
      </c>
      <c r="B1793" s="8" t="s">
        <v>2153</v>
      </c>
      <c r="C1793" s="35" t="s">
        <v>319</v>
      </c>
      <c r="D1793" s="36" t="s">
        <v>2082</v>
      </c>
      <c r="E1793" s="37" t="s">
        <v>779</v>
      </c>
      <c r="F1793" s="35" t="s">
        <v>322</v>
      </c>
      <c r="G1793" s="7"/>
      <c r="H1793" s="7"/>
      <c r="I1793" s="12"/>
    </row>
    <row r="1794" spans="1:9" ht="25.5" x14ac:dyDescent="0.2">
      <c r="A1794" s="35" t="str">
        <f>HYPERLINK("https://mississippidhs.jamacloud.com/perspective.req?projectId=53&amp;docId=29717","LSRP-SHRQ-1774")</f>
        <v>LSRP-SHRQ-1774</v>
      </c>
      <c r="B1794" s="8" t="s">
        <v>2154</v>
      </c>
      <c r="C1794" s="35" t="s">
        <v>319</v>
      </c>
      <c r="D1794" s="36" t="s">
        <v>2082</v>
      </c>
      <c r="E1794" s="37" t="s">
        <v>779</v>
      </c>
      <c r="F1794" s="35" t="s">
        <v>322</v>
      </c>
      <c r="G1794" s="7"/>
      <c r="H1794" s="7"/>
      <c r="I1794" s="12"/>
    </row>
    <row r="1795" spans="1:9" ht="25.5" x14ac:dyDescent="0.2">
      <c r="A1795" s="35" t="str">
        <f>HYPERLINK("https://mississippidhs.jamacloud.com/perspective.req?projectId=53&amp;docId=29718","LSRP-SHRQ-1775")</f>
        <v>LSRP-SHRQ-1775</v>
      </c>
      <c r="B1795" s="8" t="s">
        <v>2155</v>
      </c>
      <c r="C1795" s="35" t="s">
        <v>319</v>
      </c>
      <c r="D1795" s="36" t="s">
        <v>2082</v>
      </c>
      <c r="E1795" s="37" t="s">
        <v>779</v>
      </c>
      <c r="F1795" s="35" t="s">
        <v>322</v>
      </c>
      <c r="G1795" s="7"/>
      <c r="H1795" s="7"/>
      <c r="I1795" s="12"/>
    </row>
    <row r="1796" spans="1:9" ht="14.25" x14ac:dyDescent="0.2">
      <c r="A1796" s="35" t="str">
        <f>HYPERLINK("https://mississippidhs.jamacloud.com/perspective.req?projectId=53&amp;docId=29719","LSRP-SHRQ-1776")</f>
        <v>LSRP-SHRQ-1776</v>
      </c>
      <c r="B1796" s="8" t="s">
        <v>2156</v>
      </c>
      <c r="C1796" s="35" t="s">
        <v>319</v>
      </c>
      <c r="D1796" s="36" t="s">
        <v>2082</v>
      </c>
      <c r="E1796" s="37" t="s">
        <v>779</v>
      </c>
      <c r="F1796" s="35" t="s">
        <v>322</v>
      </c>
      <c r="G1796" s="7"/>
      <c r="H1796" s="7"/>
      <c r="I1796" s="12"/>
    </row>
    <row r="1797" spans="1:9" ht="25.5" x14ac:dyDescent="0.2">
      <c r="A1797" s="35" t="str">
        <f>HYPERLINK("https://mississippidhs.jamacloud.com/perspective.req?projectId=53&amp;docId=29720","LSRP-SHRQ-1777")</f>
        <v>LSRP-SHRQ-1777</v>
      </c>
      <c r="B1797" s="8" t="s">
        <v>2157</v>
      </c>
      <c r="C1797" s="35" t="s">
        <v>319</v>
      </c>
      <c r="D1797" s="36" t="s">
        <v>2082</v>
      </c>
      <c r="E1797" s="37" t="s">
        <v>779</v>
      </c>
      <c r="F1797" s="35" t="s">
        <v>322</v>
      </c>
      <c r="G1797" s="7"/>
      <c r="H1797" s="7"/>
      <c r="I1797" s="12"/>
    </row>
    <row r="1798" spans="1:9" ht="25.5" x14ac:dyDescent="0.2">
      <c r="A1798" s="35" t="str">
        <f>HYPERLINK("https://mississippidhs.jamacloud.com/perspective.req?projectId=53&amp;docId=29721","LSRP-SHRQ-1778")</f>
        <v>LSRP-SHRQ-1778</v>
      </c>
      <c r="B1798" s="8" t="s">
        <v>2158</v>
      </c>
      <c r="C1798" s="35" t="s">
        <v>319</v>
      </c>
      <c r="D1798" s="36" t="s">
        <v>2082</v>
      </c>
      <c r="E1798" s="37" t="s">
        <v>779</v>
      </c>
      <c r="F1798" s="35" t="s">
        <v>322</v>
      </c>
      <c r="G1798" s="7"/>
      <c r="H1798" s="7"/>
      <c r="I1798" s="12"/>
    </row>
    <row r="1799" spans="1:9" ht="38.25" x14ac:dyDescent="0.2">
      <c r="A1799" s="35" t="str">
        <f>HYPERLINK("https://mississippidhs.jamacloud.com/perspective.req?projectId=53&amp;docId=29722","LSRP-SHRQ-1779")</f>
        <v>LSRP-SHRQ-1779</v>
      </c>
      <c r="B1799" s="8" t="s">
        <v>2159</v>
      </c>
      <c r="C1799" s="35" t="s">
        <v>319</v>
      </c>
      <c r="D1799" s="36" t="s">
        <v>2082</v>
      </c>
      <c r="E1799" s="37" t="s">
        <v>779</v>
      </c>
      <c r="F1799" s="35" t="s">
        <v>322</v>
      </c>
      <c r="G1799" s="7"/>
      <c r="H1799" s="7"/>
      <c r="I1799" s="12"/>
    </row>
    <row r="1800" spans="1:9" ht="25.5" x14ac:dyDescent="0.2">
      <c r="A1800" s="35" t="str">
        <f>HYPERLINK("https://mississippidhs.jamacloud.com/perspective.req?projectId=53&amp;docId=29723","LSRP-SHRQ-1780")</f>
        <v>LSRP-SHRQ-1780</v>
      </c>
      <c r="B1800" s="8" t="s">
        <v>2160</v>
      </c>
      <c r="C1800" s="35" t="s">
        <v>319</v>
      </c>
      <c r="D1800" s="36" t="s">
        <v>2082</v>
      </c>
      <c r="E1800" s="37" t="s">
        <v>779</v>
      </c>
      <c r="F1800" s="35" t="s">
        <v>322</v>
      </c>
      <c r="G1800" s="7"/>
      <c r="H1800" s="7"/>
      <c r="I1800" s="12"/>
    </row>
    <row r="1801" spans="1:9" ht="14.25" x14ac:dyDescent="0.2">
      <c r="A1801" s="35" t="str">
        <f>HYPERLINK("https://mississippidhs.jamacloud.com/perspective.req?projectId=53&amp;docId=29724","LSRP-SHRQ-1781")</f>
        <v>LSRP-SHRQ-1781</v>
      </c>
      <c r="B1801" s="8" t="s">
        <v>2161</v>
      </c>
      <c r="C1801" s="35" t="s">
        <v>319</v>
      </c>
      <c r="D1801" s="36" t="s">
        <v>2082</v>
      </c>
      <c r="E1801" s="37" t="s">
        <v>779</v>
      </c>
      <c r="F1801" s="35" t="s">
        <v>322</v>
      </c>
      <c r="G1801" s="7"/>
      <c r="H1801" s="7"/>
      <c r="I1801" s="12"/>
    </row>
    <row r="1802" spans="1:9" ht="38.25" x14ac:dyDescent="0.2">
      <c r="A1802" s="35" t="str">
        <f>HYPERLINK("https://mississippidhs.jamacloud.com/perspective.req?projectId=53&amp;docId=29725","LSRP-SHRQ-1782")</f>
        <v>LSRP-SHRQ-1782</v>
      </c>
      <c r="B1802" s="8" t="s">
        <v>2162</v>
      </c>
      <c r="C1802" s="35" t="s">
        <v>319</v>
      </c>
      <c r="D1802" s="36" t="s">
        <v>2082</v>
      </c>
      <c r="E1802" s="37" t="s">
        <v>779</v>
      </c>
      <c r="F1802" s="35" t="s">
        <v>322</v>
      </c>
      <c r="G1802" s="7"/>
      <c r="H1802" s="7"/>
      <c r="I1802" s="12"/>
    </row>
    <row r="1803" spans="1:9" ht="38.25" x14ac:dyDescent="0.2">
      <c r="A1803" s="35" t="str">
        <f>HYPERLINK("https://mississippidhs.jamacloud.com/perspective.req?projectId=53&amp;docId=29726","LSRP-SHRQ-1783")</f>
        <v>LSRP-SHRQ-1783</v>
      </c>
      <c r="B1803" s="8" t="s">
        <v>2163</v>
      </c>
      <c r="C1803" s="35" t="s">
        <v>319</v>
      </c>
      <c r="D1803" s="36" t="s">
        <v>2082</v>
      </c>
      <c r="E1803" s="37" t="s">
        <v>779</v>
      </c>
      <c r="F1803" s="35" t="s">
        <v>322</v>
      </c>
      <c r="G1803" s="7"/>
      <c r="H1803" s="7"/>
      <c r="I1803" s="12"/>
    </row>
    <row r="1804" spans="1:9" ht="38.25" x14ac:dyDescent="0.2">
      <c r="A1804" s="35" t="str">
        <f>HYPERLINK("https://mississippidhs.jamacloud.com/perspective.req?projectId=53&amp;docId=29727","LSRP-SHRQ-1784")</f>
        <v>LSRP-SHRQ-1784</v>
      </c>
      <c r="B1804" s="8" t="s">
        <v>2164</v>
      </c>
      <c r="C1804" s="35" t="s">
        <v>319</v>
      </c>
      <c r="D1804" s="36" t="s">
        <v>2082</v>
      </c>
      <c r="E1804" s="37" t="s">
        <v>779</v>
      </c>
      <c r="F1804" s="35" t="s">
        <v>322</v>
      </c>
      <c r="G1804" s="7"/>
      <c r="H1804" s="7"/>
      <c r="I1804" s="12"/>
    </row>
    <row r="1805" spans="1:9" ht="25.5" x14ac:dyDescent="0.2">
      <c r="A1805" s="35" t="str">
        <f>HYPERLINK("https://mississippidhs.jamacloud.com/perspective.req?projectId=53&amp;docId=29728","LSRP-SHRQ-1785")</f>
        <v>LSRP-SHRQ-1785</v>
      </c>
      <c r="B1805" s="8" t="s">
        <v>2165</v>
      </c>
      <c r="C1805" s="35" t="s">
        <v>319</v>
      </c>
      <c r="D1805" s="36" t="s">
        <v>2082</v>
      </c>
      <c r="E1805" s="37" t="s">
        <v>779</v>
      </c>
      <c r="F1805" s="35" t="s">
        <v>322</v>
      </c>
      <c r="G1805" s="7"/>
      <c r="H1805" s="7"/>
      <c r="I1805" s="12"/>
    </row>
    <row r="1806" spans="1:9" ht="25.5" x14ac:dyDescent="0.2">
      <c r="A1806" s="35" t="str">
        <f>HYPERLINK("https://mississippidhs.jamacloud.com/perspective.req?projectId=53&amp;docId=29729","LSRP-SHRQ-1786")</f>
        <v>LSRP-SHRQ-1786</v>
      </c>
      <c r="B1806" s="8" t="s">
        <v>2166</v>
      </c>
      <c r="C1806" s="35" t="s">
        <v>319</v>
      </c>
      <c r="D1806" s="36" t="s">
        <v>2082</v>
      </c>
      <c r="E1806" s="37" t="s">
        <v>779</v>
      </c>
      <c r="F1806" s="35" t="s">
        <v>322</v>
      </c>
      <c r="G1806" s="7"/>
      <c r="H1806" s="7"/>
      <c r="I1806" s="12"/>
    </row>
    <row r="1807" spans="1:9" ht="14.25" x14ac:dyDescent="0.2">
      <c r="A1807" s="35"/>
      <c r="B1807" s="38"/>
      <c r="C1807" s="35"/>
      <c r="D1807" s="36"/>
      <c r="E1807" s="37"/>
      <c r="F1807" s="35"/>
      <c r="G1807" s="7"/>
      <c r="H1807" s="7"/>
      <c r="I1807" s="10"/>
    </row>
  </sheetData>
  <mergeCells count="2">
    <mergeCell ref="G1:I1"/>
    <mergeCell ref="A1:F1"/>
  </mergeCells>
  <dataValidations count="4">
    <dataValidation type="list" errorStyle="warning" allowBlank="1" showInputMessage="1" showErrorMessage="1" errorTitle="Error" error="Set a valid value" sqref="C3:C1806" xr:uid="{00000000-0002-0000-0300-000000000000}">
      <formula1>LookupTypeRange240</formula1>
    </dataValidation>
    <dataValidation type="list" errorStyle="warning" allowBlank="1" showInputMessage="1" showErrorMessage="1" errorTitle="Error" error="Set a valid value" sqref="D3:D1806" xr:uid="{00000000-0002-0000-0300-000001000000}">
      <formula1>LookupTypeRange263</formula1>
    </dataValidation>
    <dataValidation type="list" errorStyle="warning" allowBlank="1" showInputMessage="1" showErrorMessage="1" errorTitle="Error" error="Set a valid value" sqref="E3:E1806" xr:uid="{00000000-0002-0000-0300-000002000000}">
      <formula1>LookupTypeRange225</formula1>
    </dataValidation>
    <dataValidation type="list" allowBlank="1" showInputMessage="1" showErrorMessage="1" sqref="G3:G65536" xr:uid="{00000000-0002-0000-0300-000003000000}">
      <formula1>LookupTypeRange225</formula1>
    </dataValidation>
  </dataValidation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7"/>
  <sheetViews>
    <sheetView zoomScaleNormal="100" workbookViewId="0">
      <selection sqref="A1:A65536"/>
    </sheetView>
  </sheetViews>
  <sheetFormatPr defaultRowHeight="15" x14ac:dyDescent="0.25"/>
  <sheetData>
    <row r="1" spans="1:10" x14ac:dyDescent="0.25">
      <c r="A1" t="b">
        <v>1</v>
      </c>
      <c r="B1" t="s">
        <v>2167</v>
      </c>
      <c r="C1" t="s">
        <v>2167</v>
      </c>
      <c r="D1" t="s">
        <v>401</v>
      </c>
      <c r="E1" t="s">
        <v>320</v>
      </c>
      <c r="F1" t="s">
        <v>2168</v>
      </c>
      <c r="G1" t="s">
        <v>321</v>
      </c>
      <c r="H1" t="s">
        <v>2169</v>
      </c>
      <c r="I1" t="s">
        <v>2170</v>
      </c>
      <c r="J1" t="s">
        <v>2171</v>
      </c>
    </row>
    <row r="2" spans="1:10" x14ac:dyDescent="0.25">
      <c r="A2" t="b">
        <v>0</v>
      </c>
      <c r="B2" t="s">
        <v>2172</v>
      </c>
      <c r="C2" t="s">
        <v>2173</v>
      </c>
      <c r="D2" t="s">
        <v>319</v>
      </c>
      <c r="E2" t="s">
        <v>384</v>
      </c>
      <c r="F2" t="s">
        <v>2174</v>
      </c>
      <c r="G2" t="s">
        <v>779</v>
      </c>
      <c r="H2" t="s">
        <v>2175</v>
      </c>
      <c r="I2" t="s">
        <v>2176</v>
      </c>
      <c r="J2" t="s">
        <v>2177</v>
      </c>
    </row>
    <row r="3" spans="1:10" x14ac:dyDescent="0.25">
      <c r="B3" t="s">
        <v>2178</v>
      </c>
      <c r="C3" t="s">
        <v>2179</v>
      </c>
      <c r="E3" t="s">
        <v>47</v>
      </c>
      <c r="H3" t="s">
        <v>2180</v>
      </c>
      <c r="I3" t="s">
        <v>2181</v>
      </c>
      <c r="J3" t="s">
        <v>2182</v>
      </c>
    </row>
    <row r="4" spans="1:10" x14ac:dyDescent="0.25">
      <c r="B4" t="s">
        <v>2183</v>
      </c>
      <c r="C4" t="s">
        <v>2183</v>
      </c>
      <c r="E4" t="s">
        <v>2184</v>
      </c>
      <c r="I4" t="s">
        <v>2185</v>
      </c>
    </row>
    <row r="5" spans="1:10" x14ac:dyDescent="0.25">
      <c r="B5" t="s">
        <v>2186</v>
      </c>
      <c r="C5" t="s">
        <v>2186</v>
      </c>
      <c r="E5" t="s">
        <v>33</v>
      </c>
      <c r="I5" t="s">
        <v>2187</v>
      </c>
    </row>
    <row r="6" spans="1:10" x14ac:dyDescent="0.25">
      <c r="E6" t="s">
        <v>424</v>
      </c>
      <c r="I6" t="s">
        <v>2188</v>
      </c>
    </row>
    <row r="7" spans="1:10" x14ac:dyDescent="0.25">
      <c r="E7" t="s">
        <v>478</v>
      </c>
      <c r="I7" t="s">
        <v>2189</v>
      </c>
    </row>
    <row r="8" spans="1:10" x14ac:dyDescent="0.25">
      <c r="E8" t="s">
        <v>489</v>
      </c>
    </row>
    <row r="9" spans="1:10" x14ac:dyDescent="0.25">
      <c r="E9" t="s">
        <v>498</v>
      </c>
    </row>
    <row r="10" spans="1:10" x14ac:dyDescent="0.25">
      <c r="E10" t="s">
        <v>517</v>
      </c>
    </row>
    <row r="11" spans="1:10" x14ac:dyDescent="0.25">
      <c r="E11" t="s">
        <v>35</v>
      </c>
    </row>
    <row r="12" spans="1:10" x14ac:dyDescent="0.25">
      <c r="E12" t="s">
        <v>39</v>
      </c>
    </row>
    <row r="13" spans="1:10" x14ac:dyDescent="0.25">
      <c r="E13" t="s">
        <v>53</v>
      </c>
    </row>
    <row r="14" spans="1:10" x14ac:dyDescent="0.25">
      <c r="E14" t="s">
        <v>43</v>
      </c>
    </row>
    <row r="15" spans="1:10" x14ac:dyDescent="0.25">
      <c r="E15" t="s">
        <v>31</v>
      </c>
    </row>
    <row r="16" spans="1:10" x14ac:dyDescent="0.25">
      <c r="E16" t="s">
        <v>1247</v>
      </c>
    </row>
    <row r="17" spans="5:5" x14ac:dyDescent="0.25">
      <c r="E17" t="s">
        <v>51</v>
      </c>
    </row>
    <row r="18" spans="5:5" x14ac:dyDescent="0.25">
      <c r="E18" t="s">
        <v>49</v>
      </c>
    </row>
    <row r="19" spans="5:5" x14ac:dyDescent="0.25">
      <c r="E19" t="s">
        <v>1370</v>
      </c>
    </row>
    <row r="20" spans="5:5" x14ac:dyDescent="0.25">
      <c r="E20" t="s">
        <v>45</v>
      </c>
    </row>
    <row r="21" spans="5:5" x14ac:dyDescent="0.25">
      <c r="E21" t="s">
        <v>41</v>
      </c>
    </row>
    <row r="22" spans="5:5" x14ac:dyDescent="0.25">
      <c r="E22" t="s">
        <v>1555</v>
      </c>
    </row>
    <row r="23" spans="5:5" x14ac:dyDescent="0.25">
      <c r="E23" t="s">
        <v>1579</v>
      </c>
    </row>
    <row r="24" spans="5:5" x14ac:dyDescent="0.25">
      <c r="E24" t="s">
        <v>37</v>
      </c>
    </row>
    <row r="25" spans="5:5" x14ac:dyDescent="0.25">
      <c r="E25" t="s">
        <v>55</v>
      </c>
    </row>
    <row r="26" spans="5:5" x14ac:dyDescent="0.25">
      <c r="E26" t="s">
        <v>2066</v>
      </c>
    </row>
    <row r="27" spans="5:5" x14ac:dyDescent="0.25">
      <c r="E27" t="s">
        <v>2082</v>
      </c>
    </row>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7512078-1c61-4bd4-b3f7-faa8f48148ed" xsi:nil="true"/>
    <lcf76f155ced4ddcb4097134ff3c332f xmlns="53b3eb5a-fb8f-49d5-8e04-671520b71eb9">
      <Terms xmlns="http://schemas.microsoft.com/office/infopath/2007/PartnerControls"/>
    </lcf76f155ced4ddcb4097134ff3c332f>
    <Lookup xmlns="53b3eb5a-fb8f-49d5-8e04-671520b71eb9"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3865DBA311144E86F20024BD348F3E" ma:contentTypeVersion="17" ma:contentTypeDescription="Create a new document." ma:contentTypeScope="" ma:versionID="39126e0662e851599bcdfbf311f6643a">
  <xsd:schema xmlns:xsd="http://www.w3.org/2001/XMLSchema" xmlns:xs="http://www.w3.org/2001/XMLSchema" xmlns:p="http://schemas.microsoft.com/office/2006/metadata/properties" xmlns:ns1="http://schemas.microsoft.com/sharepoint/v3" xmlns:ns2="53b3eb5a-fb8f-49d5-8e04-671520b71eb9" xmlns:ns3="17512078-1c61-4bd4-b3f7-faa8f48148ed" targetNamespace="http://schemas.microsoft.com/office/2006/metadata/properties" ma:root="true" ma:fieldsID="00d84ab8c54247578a12bc61181f9a6f" ns1:_="" ns2:_="" ns3:_="">
    <xsd:import namespace="http://schemas.microsoft.com/sharepoint/v3"/>
    <xsd:import namespace="53b3eb5a-fb8f-49d5-8e04-671520b71eb9"/>
    <xsd:import namespace="17512078-1c61-4bd4-b3f7-faa8f48148e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ookup"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b3eb5a-fb8f-49d5-8e04-671520b71e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Lookup" ma:index="12" nillable="true" ma:displayName="Lookup" ma:list="{d31698e5-ef0f-4cd4-b29a-943a27469e04}" ma:internalName="Lookup" ma:showField="Title">
      <xsd:simpleType>
        <xsd:restriction base="dms:Lookup"/>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b4d3418-1998-4772-b72d-177b09fc5e0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512078-1c61-4bd4-b3f7-faa8f48148e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0d10951-2319-4db1-b3cb-5c78d57c358e}" ma:internalName="TaxCatchAll" ma:showField="CatchAllData" ma:web="17512078-1c61-4bd4-b3f7-faa8f48148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942042-9600-4A43-85FA-90072A875C6B}">
  <ds:schemaRefs>
    <ds:schemaRef ds:uri="http://schemas.microsoft.com/office/2006/metadata/properties"/>
    <ds:schemaRef ds:uri="http://schemas.microsoft.com/office/infopath/2007/PartnerControls"/>
    <ds:schemaRef ds:uri="17512078-1c61-4bd4-b3f7-faa8f48148ed"/>
    <ds:schemaRef ds:uri="53b3eb5a-fb8f-49d5-8e04-671520b71eb9"/>
    <ds:schemaRef ds:uri="http://schemas.microsoft.com/sharepoint/v3"/>
  </ds:schemaRefs>
</ds:datastoreItem>
</file>

<file path=customXml/itemProps2.xml><?xml version="1.0" encoding="utf-8"?>
<ds:datastoreItem xmlns:ds="http://schemas.openxmlformats.org/officeDocument/2006/customXml" ds:itemID="{239C9477-9233-4685-9DDA-D2FB8359DB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3b3eb5a-fb8f-49d5-8e04-671520b71eb9"/>
    <ds:schemaRef ds:uri="17512078-1c61-4bd4-b3f7-faa8f4814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077876-B664-4897-A90D-94FD20D773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1. Instructions</vt:lpstr>
      <vt:lpstr>2. Business Areas</vt:lpstr>
      <vt:lpstr>3. Glossary</vt:lpstr>
      <vt:lpstr>4. Requirements</vt:lpstr>
      <vt:lpstr>ValidationData</vt:lpstr>
      <vt:lpstr>BooleanRange</vt:lpstr>
      <vt:lpstr>LookupTypeRange225</vt:lpstr>
      <vt:lpstr>LookupTypeRange240</vt:lpstr>
      <vt:lpstr>LookupTypeRange263</vt:lpstr>
      <vt:lpstr>LookupTypeRange264</vt:lpstr>
      <vt:lpstr>LookupTypeRange62</vt:lpstr>
      <vt:lpstr>LookupTypeRange63</vt:lpstr>
      <vt:lpstr>testCaseStatus</vt:lpstr>
      <vt:lpstr>testRunStatus</vt:lpstr>
    </vt:vector>
  </TitlesOfParts>
  <Manager/>
  <Company>Mississippi Department of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Export to Excel Default</dc:title>
  <dc:subject>Export to Excel Default</dc:subject>
  <dc:creator>Richard Taylor</dc:creator>
  <cp:keywords/>
  <dc:description/>
  <cp:lastModifiedBy>Khelli Reed</cp:lastModifiedBy>
  <cp:revision>0</cp:revision>
  <dcterms:created xsi:type="dcterms:W3CDTF">2010-06-08T17:51:11Z</dcterms:created>
  <dcterms:modified xsi:type="dcterms:W3CDTF">2023-06-07T14:47:23Z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ookup">
    <vt:lpwstr/>
  </property>
  <property fmtid="{D5CDD505-2E9C-101B-9397-08002B2CF9AE}" pid="4" name="lcf76f155ced4ddcb4097134ff3c332f">
    <vt:lpwstr/>
  </property>
  <property fmtid="{D5CDD505-2E9C-101B-9397-08002B2CF9AE}" pid="5" name="MediaServiceImageTags">
    <vt:lpwstr/>
  </property>
</Properties>
</file>